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105" yWindow="-105" windowWidth="19425" windowHeight="10305" tabRatio="880" firstSheet="133" activeTab="133"/>
  </bookViews>
  <sheets>
    <sheet name="PL tong hop" sheetId="65" state="hidden" r:id="rId1"/>
    <sheet name="01" sheetId="1" state="hidden" r:id="rId2"/>
    <sheet name="02" sheetId="2" state="hidden" r:id="rId3"/>
    <sheet name="03" sheetId="3" state="hidden" r:id="rId4"/>
    <sheet name="04" sheetId="4" state="hidden" r:id="rId5"/>
    <sheet name="05" sheetId="8" state="hidden" r:id="rId6"/>
    <sheet name="06" sheetId="5" state="hidden" r:id="rId7"/>
    <sheet name="07" sheetId="6" state="hidden" r:id="rId8"/>
    <sheet name="08" sheetId="7" state="hidden" r:id="rId9"/>
    <sheet name="09" sheetId="9" state="hidden" r:id="rId10"/>
    <sheet name="10" sheetId="13" state="hidden" r:id="rId11"/>
    <sheet name="11" sheetId="10" state="hidden" r:id="rId12"/>
    <sheet name="17" sheetId="17" state="hidden" r:id="rId13"/>
    <sheet name="18 (Khong)" sheetId="18" state="hidden" r:id="rId14"/>
    <sheet name="ĐGCĐ THU, CHI MAU 19" sheetId="19" state="hidden" r:id="rId15"/>
    <sheet name="DANH GIA TH THU NSNN 20" sheetId="20" state="hidden" r:id="rId16"/>
    <sheet name="D. GIA TH THU NSNN THEO L.V 21" sheetId="21" state="hidden" r:id="rId17"/>
    <sheet name="22" sheetId="22" state="hidden" r:id="rId18"/>
    <sheet name="23" sheetId="23" state="hidden" r:id="rId19"/>
    <sheet name="24" sheetId="24" state="hidden" r:id="rId20"/>
    <sheet name="25" sheetId="25" state="hidden" r:id="rId21"/>
    <sheet name="26" sheetId="26" state="hidden" r:id="rId22"/>
    <sheet name="27" sheetId="27" state="hidden" r:id="rId23"/>
    <sheet name="28" sheetId="28" state="hidden" r:id="rId24"/>
    <sheet name="29" sheetId="29" state="hidden" r:id="rId25"/>
    <sheet name="CĐDT THU, CHI MAU 30" sheetId="30" state="hidden" r:id="rId26"/>
    <sheet name="31" sheetId="31" state="hidden" r:id="rId27"/>
    <sheet name="Kangatang" sheetId="71" state="veryHidden" r:id="rId28"/>
    <sheet name="Kangatang_2" sheetId="72" state="veryHidden" r:id="rId29"/>
    <sheet name="Kangatang_3" sheetId="73" state="veryHidden" r:id="rId30"/>
    <sheet name="Kangatang_4" sheetId="74" state="veryHidden" r:id="rId31"/>
    <sheet name="Kangatang_5" sheetId="75" state="veryHidden" r:id="rId32"/>
    <sheet name="Kangatang_6" sheetId="76" state="veryHidden" r:id="rId33"/>
    <sheet name="Kangatang_7" sheetId="77" state="veryHidden" r:id="rId34"/>
    <sheet name="Kangatang_8" sheetId="78" state="veryHidden" r:id="rId35"/>
    <sheet name="Kangatang_9" sheetId="79" state="veryHidden" r:id="rId36"/>
    <sheet name="Kangatang_10" sheetId="80" state="veryHidden" r:id="rId37"/>
    <sheet name="Kangatang_11" sheetId="81" state="veryHidden" r:id="rId38"/>
    <sheet name="Kangatang_12" sheetId="82" state="veryHidden" r:id="rId39"/>
    <sheet name="Kangatang_13" sheetId="83" state="veryHidden" r:id="rId40"/>
    <sheet name="Kangatang_14" sheetId="84" state="veryHidden" r:id="rId41"/>
    <sheet name="Kangatang_15" sheetId="85" state="veryHidden" r:id="rId42"/>
    <sheet name="Kangatang_16" sheetId="86" state="veryHidden" r:id="rId43"/>
    <sheet name="Kangatang_17" sheetId="87" state="veryHidden" r:id="rId44"/>
    <sheet name="Kangatang_18" sheetId="88" state="veryHidden" r:id="rId45"/>
    <sheet name="Kangatang_19" sheetId="89" state="veryHidden" r:id="rId46"/>
    <sheet name="Kangatang_20" sheetId="90" state="veryHidden" r:id="rId47"/>
    <sheet name="Kangatang_21" sheetId="91" state="veryHidden" r:id="rId48"/>
    <sheet name="Kangatang_22" sheetId="92" state="veryHidden" r:id="rId49"/>
    <sheet name="Kangatang_23" sheetId="93" state="veryHidden" r:id="rId50"/>
    <sheet name="Kangatang_24" sheetId="94" state="veryHidden" r:id="rId51"/>
    <sheet name="Kangatang_25" sheetId="95" state="veryHidden" r:id="rId52"/>
    <sheet name="Kangatang_26" sheetId="96" state="veryHidden" r:id="rId53"/>
    <sheet name="Kangatang_27" sheetId="97" state="veryHidden" r:id="rId54"/>
    <sheet name="Kangatang_28" sheetId="98" state="veryHidden" r:id="rId55"/>
    <sheet name="Kangatang_29" sheetId="99" state="veryHidden" r:id="rId56"/>
    <sheet name="Kangatang_30" sheetId="100" state="veryHidden" r:id="rId57"/>
    <sheet name="Kangatang_31" sheetId="101" state="veryHidden" r:id="rId58"/>
    <sheet name="Kangatang_32" sheetId="102" state="veryHidden" r:id="rId59"/>
    <sheet name="Kangatang_33" sheetId="103" state="veryHidden" r:id="rId60"/>
    <sheet name="Kangatang_34" sheetId="104" state="veryHidden" r:id="rId61"/>
    <sheet name="Kangatang_35" sheetId="105" state="veryHidden" r:id="rId62"/>
    <sheet name="Kangatang_36" sheetId="106" state="veryHidden" r:id="rId63"/>
    <sheet name="Kangatang_37" sheetId="107" state="veryHidden" r:id="rId64"/>
    <sheet name="Kangatang_38" sheetId="108" state="veryHidden" r:id="rId65"/>
    <sheet name="Kangatang_39" sheetId="109" state="veryHidden" r:id="rId66"/>
    <sheet name="Kangatang_40" sheetId="110" state="veryHidden" r:id="rId67"/>
    <sheet name="Kangatang_41" sheetId="111" state="veryHidden" r:id="rId68"/>
    <sheet name="Kangatang_42" sheetId="112" state="veryHidden" r:id="rId69"/>
    <sheet name="Kangatang_43" sheetId="113" state="veryHidden" r:id="rId70"/>
    <sheet name="Kangatang_44" sheetId="114" state="veryHidden" r:id="rId71"/>
    <sheet name="Kangatang_45" sheetId="115" state="veryHidden" r:id="rId72"/>
    <sheet name="Kangatang_46" sheetId="116" state="veryHidden" r:id="rId73"/>
    <sheet name="Kangatang_47" sheetId="117" state="veryHidden" r:id="rId74"/>
    <sheet name="Kangatang_48" sheetId="118" state="veryHidden" r:id="rId75"/>
    <sheet name="Kangatang_49" sheetId="119" state="veryHidden" r:id="rId76"/>
    <sheet name="Kangatang_50" sheetId="120" state="veryHidden" r:id="rId77"/>
    <sheet name="Kangatang_51" sheetId="121" state="veryHidden" r:id="rId78"/>
    <sheet name="Kangatang_52" sheetId="122" state="veryHidden" r:id="rId79"/>
    <sheet name="Kangatang_53" sheetId="123" state="veryHidden" r:id="rId80"/>
    <sheet name="Kangatang_54" sheetId="124" state="veryHidden" r:id="rId81"/>
    <sheet name="Kangatang_55" sheetId="125" state="veryHidden" r:id="rId82"/>
    <sheet name="Kangatang_56" sheetId="126" state="veryHidden" r:id="rId83"/>
    <sheet name="Kangatang_57" sheetId="127" state="veryHidden" r:id="rId84"/>
    <sheet name="Kangatang_58" sheetId="128" state="veryHidden" r:id="rId85"/>
    <sheet name="Kangatang_59" sheetId="129" state="veryHidden" r:id="rId86"/>
    <sheet name="Kangatang_60" sheetId="130" state="veryHidden" r:id="rId87"/>
    <sheet name="Kangatang_61" sheetId="131" state="veryHidden" r:id="rId88"/>
    <sheet name="Kangatang_62" sheetId="132" state="veryHidden" r:id="rId89"/>
    <sheet name="Kangatang_63" sheetId="133" state="veryHidden" r:id="rId90"/>
    <sheet name="Kangatang_64" sheetId="134" state="veryHidden" r:id="rId91"/>
    <sheet name="Kangatang_65" sheetId="135" state="veryHidden" r:id="rId92"/>
    <sheet name="Kangatang_66" sheetId="136" state="veryHidden" r:id="rId93"/>
    <sheet name="Kangatang_67" sheetId="137" state="veryHidden" r:id="rId94"/>
    <sheet name="Kangatang_68" sheetId="138" state="veryHidden" r:id="rId95"/>
    <sheet name="Kangatang_69" sheetId="139" state="veryHidden" r:id="rId96"/>
    <sheet name="Kangatang_70" sheetId="140" state="veryHidden" r:id="rId97"/>
    <sheet name="Kangatang_71" sheetId="141" state="veryHidden" r:id="rId98"/>
    <sheet name="Kangatang_72" sheetId="142" state="veryHidden" r:id="rId99"/>
    <sheet name="Kangatang_73" sheetId="143" state="veryHidden" r:id="rId100"/>
    <sheet name="Kangatang_74" sheetId="144" state="veryHidden" r:id="rId101"/>
    <sheet name="Kangatang_75" sheetId="145" state="veryHidden" r:id="rId102"/>
    <sheet name="Kangatang_76" sheetId="146" state="veryHidden" r:id="rId103"/>
    <sheet name="Kangatang_77" sheetId="147" state="veryHidden" r:id="rId104"/>
    <sheet name="Kangatang_78" sheetId="148" state="veryHidden" r:id="rId105"/>
    <sheet name="Kangatang_79" sheetId="149" state="veryHidden" r:id="rId106"/>
    <sheet name="Kangatang_80" sheetId="150" state="veryHidden" r:id="rId107"/>
    <sheet name="Kangatang_81" sheetId="151" state="veryHidden" r:id="rId108"/>
    <sheet name="Kangatang_82" sheetId="152" state="veryHidden" r:id="rId109"/>
    <sheet name="Kangatang_83" sheetId="153" state="veryHidden" r:id="rId110"/>
    <sheet name="Kangatang_84" sheetId="154" state="veryHidden" r:id="rId111"/>
    <sheet name="Kangatang_85" sheetId="155" state="veryHidden" r:id="rId112"/>
    <sheet name="Kangatang_86" sheetId="156" state="veryHidden" r:id="rId113"/>
    <sheet name="Kangatang_87" sheetId="157" state="veryHidden" r:id="rId114"/>
    <sheet name="Kangatang_88" sheetId="158" state="veryHidden" r:id="rId115"/>
    <sheet name="Kangatang_89" sheetId="159" state="veryHidden" r:id="rId116"/>
    <sheet name="Kangatang_90" sheetId="160" state="veryHidden" r:id="rId117"/>
    <sheet name="Kangatang_91" sheetId="161" state="veryHidden" r:id="rId118"/>
    <sheet name="Kangatang_92" sheetId="162" state="veryHidden" r:id="rId119"/>
    <sheet name="Kangatang_93" sheetId="163" state="veryHidden" r:id="rId120"/>
    <sheet name="Kangatang_94" sheetId="164" state="veryHidden" r:id="rId121"/>
    <sheet name="Kangatang_95" sheetId="165" state="veryHidden" r:id="rId122"/>
    <sheet name="Kangatang_96" sheetId="166" state="veryHidden" r:id="rId123"/>
    <sheet name="Kangatang_97" sheetId="167" state="veryHidden" r:id="rId124"/>
    <sheet name="Kangatang_98" sheetId="168" state="veryHidden" r:id="rId125"/>
    <sheet name="Kangatang_99" sheetId="169" state="veryHidden" r:id="rId126"/>
    <sheet name="Kangatang_100" sheetId="170" state="veryHidden" r:id="rId127"/>
    <sheet name="Kangatang_101" sheetId="171" state="veryHidden" r:id="rId128"/>
    <sheet name="Kangatang_102" sheetId="172" state="veryHidden" r:id="rId129"/>
    <sheet name="Kangatang_103" sheetId="173" state="veryHidden" r:id=""/>
    <sheet name="Kangatang_104" sheetId="174" state="veryHidden" r:id=""/>
    <sheet name="Kangatang_105" sheetId="175" state="veryHidden" r:id=""/>
    <sheet name="Kangatang_106" sheetId="176" state="veryHidden" r:id=""/>
    <sheet name="PL 01" sheetId="68" r:id="rId130"/>
    <sheet name="PL 02" sheetId="32" r:id="rId131"/>
    <sheet name="DT CHI NS HUYEN, XA 33" sheetId="33" state="hidden" r:id="rId132"/>
    <sheet name="34 (Khong)" sheetId="34" state="hidden" r:id="rId133"/>
    <sheet name="PL 03" sheetId="35" r:id="rId134"/>
    <sheet name="36 (KHONG)" sheetId="36" state="hidden" r:id="rId135"/>
    <sheet name="DT CHI TX NSH TUNG CQ 37" sheetId="37" state="hidden" r:id="rId136"/>
    <sheet name="DT CTMTQG 38" sheetId="38" state="hidden" r:id="rId137"/>
    <sheet name="PL 04" sheetId="70" r:id="rId138"/>
    <sheet name="PL 05" sheetId="39" r:id="rId139"/>
    <sheet name="40 n(Khong)" sheetId="40" state="hidden" r:id="rId140"/>
    <sheet name="PL 06" sheetId="41" r:id="rId141"/>
    <sheet name="42(KHONG)" sheetId="42" state="hidden" r:id="rId142"/>
    <sheet name="43 (KHONG)" sheetId="43" state="hidden" r:id="rId143"/>
    <sheet name="44 (KHONG)" sheetId="44" state="hidden" r:id="rId144"/>
    <sheet name="45 (KHÔNG)" sheetId="45" state="hidden" r:id="rId145"/>
    <sheet name="47 (KHONG)" sheetId="47" state="hidden" r:id="rId146"/>
    <sheet name="DIEU CHINH DAU TU CONG 16-20" sheetId="69" state="hidden" r:id="rId147"/>
    <sheet name="48" sheetId="48" state="hidden" r:id="rId148"/>
    <sheet name="49" sheetId="49" state="hidden" r:id="rId149"/>
    <sheet name="50" sheetId="50" state="hidden" r:id="rId150"/>
    <sheet name="51" sheetId="51" state="hidden" r:id="rId151"/>
    <sheet name="52" sheetId="52" state="hidden" r:id="rId152"/>
    <sheet name="53" sheetId="53" state="hidden" r:id="rId153"/>
    <sheet name="54" sheetId="54" state="hidden" r:id="rId154"/>
    <sheet name="55" sheetId="55" state="hidden" r:id="rId155"/>
    <sheet name="56" sheetId="56" state="hidden" r:id="rId156"/>
    <sheet name="57" sheetId="57" state="hidden" r:id="rId157"/>
    <sheet name="58" sheetId="58" state="hidden" r:id="rId158"/>
    <sheet name="59" sheetId="59" state="hidden" r:id="rId159"/>
    <sheet name="60" sheetId="60" state="hidden" r:id="rId160"/>
    <sheet name="61" sheetId="61" state="hidden" r:id="rId161"/>
    <sheet name="62" sheetId="62" state="hidden" r:id="rId162"/>
    <sheet name="63" sheetId="63" state="hidden" r:id="rId163"/>
    <sheet name="64" sheetId="64" state="hidden" r:id="rId164"/>
  </sheets>
  <externalReferences>
    <externalReference r:id="rId165"/>
    <externalReference r:id="rId166"/>
    <externalReference r:id="rId167"/>
    <externalReference r:id="rId168"/>
  </externalReferences>
  <definedNames>
    <definedName name="chuong_phuluc_1_name" localSheetId="0">'PL tong hop'!$A$2</definedName>
    <definedName name="chuong_phuluc_10" localSheetId="10">'10'!$A$1</definedName>
    <definedName name="chuong_phuluc_10_name" localSheetId="10">'10'!$A$2</definedName>
    <definedName name="chuong_phuluc_11" localSheetId="11">'11'!$A$1</definedName>
    <definedName name="chuong_phuluc_11_name" localSheetId="11">'11'!$A$2</definedName>
    <definedName name="chuong_phuluc_17" localSheetId="12">'17'!$A$1</definedName>
    <definedName name="chuong_phuluc_17_name" localSheetId="12">'17'!$A$2</definedName>
    <definedName name="chuong_phuluc_18" localSheetId="13">'18 (Khong)'!$A$1</definedName>
    <definedName name="chuong_phuluc_18_name" localSheetId="13">'18 (Khong)'!$A$2</definedName>
    <definedName name="chuong_phuluc_19" localSheetId="14">'ĐGCĐ THU, CHI MAU 19'!$A$1</definedName>
    <definedName name="chuong_phuluc_19_name" localSheetId="14">'ĐGCĐ THU, CHI MAU 19'!$A$2</definedName>
    <definedName name="chuong_phuluc_2" localSheetId="1">'01'!$A$1</definedName>
    <definedName name="chuong_phuluc_2_1" localSheetId="2">'02'!$A$1</definedName>
    <definedName name="chuong_phuluc_2_1_name" localSheetId="2">'02'!$A$2</definedName>
    <definedName name="chuong_phuluc_2_name" localSheetId="1">'01'!$A$2</definedName>
    <definedName name="chuong_phuluc_20" localSheetId="15">'DANH GIA TH THU NSNN 20'!$A$1</definedName>
    <definedName name="chuong_phuluc_20_name" localSheetId="15">'DANH GIA TH THU NSNN 20'!$A$2</definedName>
    <definedName name="chuong_phuluc_21" localSheetId="16">'D. GIA TH THU NSNN THEO L.V 21'!$J$1</definedName>
    <definedName name="chuong_phuluc_21_name" localSheetId="16">'D. GIA TH THU NSNN THEO L.V 21'!$A$2</definedName>
    <definedName name="chuong_phuluc_22" localSheetId="17">'22'!$J$1</definedName>
    <definedName name="chuong_phuluc_22_name" localSheetId="17">'22'!$A$2</definedName>
    <definedName name="chuong_phuluc_23" localSheetId="18">'23'!$F$1</definedName>
    <definedName name="chuong_phuluc_23_name" localSheetId="18">'23'!$A$2</definedName>
    <definedName name="chuong_phuluc_24" localSheetId="19">'24'!$K$1</definedName>
    <definedName name="chuong_phuluc_24_name" localSheetId="19">'24'!$A$2</definedName>
    <definedName name="chuong_phuluc_25" localSheetId="20">'25'!$R$1</definedName>
    <definedName name="chuong_phuluc_25_name" localSheetId="20">'25'!$A$2</definedName>
    <definedName name="chuong_phuluc_26" localSheetId="21">'26'!$R$1</definedName>
    <definedName name="chuong_phuluc_26_name" localSheetId="21">'26'!$A$2</definedName>
    <definedName name="chuong_phuluc_27" localSheetId="22">'27'!$AF$1</definedName>
    <definedName name="chuong_phuluc_27_name" localSheetId="22">'27'!$A$2</definedName>
    <definedName name="chuong_phuluc_28" localSheetId="23">'28'!$L$1</definedName>
    <definedName name="chuong_phuluc_28_name" localSheetId="23">'28'!$A$2</definedName>
    <definedName name="chuong_phuluc_29" localSheetId="24">'29'!$E$1</definedName>
    <definedName name="chuong_phuluc_29_name" localSheetId="24">'29'!$A$2</definedName>
    <definedName name="chuong_phuluc_3" localSheetId="3">'03'!$A$1</definedName>
    <definedName name="chuong_phuluc_3_name" localSheetId="3">'03'!$A$2</definedName>
    <definedName name="chuong_phuluc_30" localSheetId="25">'CĐDT THU, CHI MAU 30'!$G$1</definedName>
    <definedName name="chuong_phuluc_30_name" localSheetId="25">'CĐDT THU, CHI MAU 30'!$A$2</definedName>
    <definedName name="chuong_phuluc_31" localSheetId="26">'31'!$N$1</definedName>
    <definedName name="chuong_phuluc_31_name" localSheetId="26">'31'!$A$2</definedName>
    <definedName name="chuong_phuluc_32" localSheetId="134">'PL 02'!$L$1</definedName>
    <definedName name="chuong_phuluc_32_name" localSheetId="134">'PL 02'!$A$2</definedName>
    <definedName name="chuong_phuluc_33" localSheetId="135">'DT CHI NS HUYEN, XA 33'!$D$1</definedName>
    <definedName name="chuong_phuluc_33_name" localSheetId="135">'DT CHI NS HUYEN, XA 33'!$A$2</definedName>
    <definedName name="chuong_phuluc_34_name" localSheetId="136">'34 (Khong)'!$A$2</definedName>
    <definedName name="chuong_phuluc_35" localSheetId="137">'PL 03'!$N$1</definedName>
    <definedName name="chuong_phuluc_35_name" localSheetId="137">'PL 03'!$A$2</definedName>
    <definedName name="chuong_phuluc_36" localSheetId="138">'36 (KHONG)'!$R$1</definedName>
    <definedName name="chuong_phuluc_36_name" localSheetId="138">'36 (KHONG)'!$A$2</definedName>
    <definedName name="chuong_phuluc_37" localSheetId="139">'DT CHI TX NSH TUNG CQ 37'!$R$1</definedName>
    <definedName name="chuong_phuluc_37_name" localSheetId="139">'DT CHI TX NSH TUNG CQ 37'!$A$2</definedName>
    <definedName name="chuong_phuluc_38" localSheetId="140">'DT CTMTQG 38'!$S$1</definedName>
    <definedName name="chuong_phuluc_38_name" localSheetId="140">'DT CTMTQG 38'!$A$2</definedName>
    <definedName name="chuong_phuluc_39" localSheetId="142">'PL 05'!$P$1</definedName>
    <definedName name="chuong_phuluc_39_name" localSheetId="142">'PL 05'!$A$2</definedName>
    <definedName name="chuong_phuluc_4" localSheetId="4">'04'!$A$1</definedName>
    <definedName name="chuong_phuluc_4_name" localSheetId="4">'04'!$A$2</definedName>
    <definedName name="chuong_phuluc_40" localSheetId="143">'40 n(Khong)'!$F$1</definedName>
    <definedName name="chuong_phuluc_40_name" localSheetId="143">'40 n(Khong)'!$A$2</definedName>
    <definedName name="chuong_phuluc_41" localSheetId="144">'PL 06'!#REF!</definedName>
    <definedName name="chuong_phuluc_41_name" localSheetId="144">'PL 06'!#REF!</definedName>
    <definedName name="chuong_phuluc_42" localSheetId="145">'42(KHONG)'!$F$1</definedName>
    <definedName name="chuong_phuluc_42_name" localSheetId="145">'42(KHONG)'!$A$2</definedName>
    <definedName name="chuong_phuluc_43" localSheetId="146">'43 (KHONG)'!$L$1</definedName>
    <definedName name="chuong_phuluc_43_name" localSheetId="146">'43 (KHONG)'!$A$2</definedName>
    <definedName name="chuong_phuluc_44" localSheetId="147">'44 (KHONG)'!$L$1</definedName>
    <definedName name="chuong_phuluc_44_name" localSheetId="147">'44 (KHONG)'!$A$2</definedName>
    <definedName name="chuong_phuluc_44_name_name" localSheetId="147">'44 (KHONG)'!$A$3</definedName>
    <definedName name="chuong_phuluc_45" localSheetId="148">'45 (KHÔNG)'!$M$1</definedName>
    <definedName name="chuong_phuluc_45_name" localSheetId="148">'45 (KHÔNG)'!$A$2</definedName>
    <definedName name="chuong_phuluc_47" localSheetId="149">'47 (KHONG)'!$E$1</definedName>
    <definedName name="chuong_phuluc_47_name" localSheetId="149">'47 (KHONG)'!$A$2</definedName>
    <definedName name="chuong_phuluc_47_name_name" localSheetId="149">'47 (KHONG)'!$A$3</definedName>
    <definedName name="chuong_phuluc_48" localSheetId="151">'48'!$F$1</definedName>
    <definedName name="chuong_phuluc_48_name" localSheetId="151">'48'!$A$2</definedName>
    <definedName name="chuong_phuluc_49" localSheetId="152">'49'!$E$1</definedName>
    <definedName name="chuong_phuluc_49_name" localSheetId="152">'49'!$A$2</definedName>
    <definedName name="chuong_phuluc_5" localSheetId="5">'05'!$A$1</definedName>
    <definedName name="chuong_phuluc_5_name" localSheetId="5">'05'!$A$2</definedName>
    <definedName name="chuong_phuluc_50" localSheetId="153">'50'!$H$1</definedName>
    <definedName name="chuong_phuluc_50_name" localSheetId="153">'50'!$A$2</definedName>
    <definedName name="chuong_phuluc_51" localSheetId="154">'51'!$E$1</definedName>
    <definedName name="chuong_phuluc_51_name" localSheetId="154">'51'!$A$2</definedName>
    <definedName name="chuong_phuluc_52" localSheetId="155">'52'!$F$1</definedName>
    <definedName name="chuong_phuluc_52_name" localSheetId="155">'52'!$A$2</definedName>
    <definedName name="chuong_phuluc_53" localSheetId="156">'53'!$K$1</definedName>
    <definedName name="chuong_phuluc_53_name" localSheetId="156">'53'!$A$2</definedName>
    <definedName name="chuong_phuluc_54" localSheetId="157">'54'!$Q$1</definedName>
    <definedName name="chuong_phuluc_54_name" localSheetId="157">'54'!$A$2</definedName>
    <definedName name="chuong_phuluc_55" localSheetId="158">'55'!$T$1</definedName>
    <definedName name="chuong_phuluc_55_name" localSheetId="158">'55'!$A$2</definedName>
    <definedName name="chuong_phuluc_56" localSheetId="159">'56'!$T$1</definedName>
    <definedName name="chuong_phuluc_56_name" localSheetId="159">'56'!$A$2</definedName>
    <definedName name="chuong_phuluc_57" localSheetId="160">'57'!$J$1</definedName>
    <definedName name="chuong_phuluc_57_name" localSheetId="160">'57'!$A$2</definedName>
    <definedName name="chuong_phuluc_58" localSheetId="161">'58'!$S$1</definedName>
    <definedName name="chuong_phuluc_58_name" localSheetId="161">'58'!$A$2</definedName>
    <definedName name="chuong_phuluc_59_name" localSheetId="162">'59'!$A$2</definedName>
    <definedName name="chuong_phuluc_6" localSheetId="6">'06'!$A$1</definedName>
    <definedName name="chuong_phuluc_6_name" localSheetId="6">'06'!$A$2</definedName>
    <definedName name="chuong_phuluc_60" localSheetId="163">'60'!$H$1</definedName>
    <definedName name="chuong_phuluc_60_name" localSheetId="163">'60'!$A$2</definedName>
    <definedName name="chuong_phuluc_61" localSheetId="164">'61'!$U$1</definedName>
    <definedName name="chuong_phuluc_61_name" localSheetId="164">'61'!$A$2</definedName>
    <definedName name="chuong_phuluc_62_name" localSheetId="165">'62'!$A$2</definedName>
    <definedName name="chuong_phuluc_63" localSheetId="166">'63'!$L$1</definedName>
    <definedName name="chuong_phuluc_63_name" localSheetId="166">'63'!$A$2</definedName>
    <definedName name="chuong_phuluc_64" localSheetId="167">'64'!$E$1</definedName>
    <definedName name="chuong_phuluc_64_name" localSheetId="167">'64'!$A$2</definedName>
    <definedName name="chuong_phuluc_7" localSheetId="7">'07'!$A$1</definedName>
    <definedName name="chuong_phuluc_7_name" localSheetId="7">'07'!$A$2</definedName>
    <definedName name="chuong_phuluc_8" localSheetId="8">'08'!$A$1</definedName>
    <definedName name="chuong_phuluc_8_name" localSheetId="8">'08'!$A$2</definedName>
    <definedName name="chuong_phuluc_9" localSheetId="9">'09'!$A$1</definedName>
    <definedName name="chuong_phuluc_9_name" localSheetId="9">'09'!$A$2</definedName>
    <definedName name="_xlnm.Print_Area" localSheetId="16">'D. GIA TH THU NSNN THEO L.V 21'!$A$1:$M$33</definedName>
    <definedName name="_xlnm.Print_Area" localSheetId="15">'DANH GIA TH THU NSNN 20'!$A$1:$N$27</definedName>
    <definedName name="_xlnm.Print_Area" localSheetId="135">'DT CHI NS HUYEN, XA 33'!$A$1:$E$42</definedName>
    <definedName name="_xlnm.Print_Area" localSheetId="139">'DT CHI TX NSH TUNG CQ 37'!$A$1:$R$33</definedName>
    <definedName name="_xlnm.Print_Area" localSheetId="140">'DT CTMTQG 38'!$A$1:$S$11</definedName>
    <definedName name="_xlnm.Print_Area" localSheetId="133">'PL 01'!$A$1:$C$86</definedName>
    <definedName name="_xlnm.Print_Area" localSheetId="134">'PL 02'!$A$1:$N$29</definedName>
    <definedName name="_xlnm.Print_Area" localSheetId="141">'PL 04'!$A$1:$R$104</definedName>
    <definedName name="_xlnm.Print_Area" localSheetId="142">'PL 05'!$A$1:$Q$26</definedName>
    <definedName name="_xlnm.Print_Titles" localSheetId="139">'DT CHI TX NSH TUNG CQ 37'!$7:$8</definedName>
    <definedName name="_xlnm.Print_Titles" localSheetId="133">'PL 01'!$6:$8</definedName>
    <definedName name="_xlnm.Print_Titles" localSheetId="137">'PL 03'!$5:$12</definedName>
    <definedName name="_xlnm.Print_Titles" localSheetId="141">'PL 04'!$6:$11</definedName>
    <definedName name="_xlnm.Print_Titles" localSheetId="144">'PL 06'!$6:$8</definedName>
  </definedNames>
  <calcPr calcId="144525"/>
</workbook>
</file>

<file path=xl/calcChain.xml><?xml version="1.0" encoding="utf-8"?>
<calcChain xmlns="http://schemas.openxmlformats.org/spreadsheetml/2006/main">
  <c r="A3" i="41" l="1"/>
  <c r="A3" i="39"/>
  <c r="A3" i="70"/>
  <c r="A3" i="35"/>
  <c r="A3" i="32"/>
  <c r="A4" i="41"/>
  <c r="A4" i="39"/>
  <c r="A4" i="70"/>
  <c r="A4" i="35"/>
  <c r="A4" i="32"/>
  <c r="N26" i="39" l="1"/>
  <c r="M26" i="39" s="1"/>
  <c r="L26" i="39"/>
  <c r="J26" i="39"/>
  <c r="I26" i="39"/>
  <c r="E26" i="39"/>
  <c r="D26" i="39" s="1"/>
  <c r="Q26" i="39" s="1"/>
  <c r="N25" i="39"/>
  <c r="M25" i="39"/>
  <c r="L25" i="39"/>
  <c r="J25" i="39"/>
  <c r="I25" i="39"/>
  <c r="E25" i="39"/>
  <c r="N24" i="39"/>
  <c r="M24" i="39" s="1"/>
  <c r="L24" i="39"/>
  <c r="J24" i="39"/>
  <c r="I24" i="39"/>
  <c r="E24" i="39"/>
  <c r="N23" i="39"/>
  <c r="M23" i="39" s="1"/>
  <c r="L23" i="39"/>
  <c r="J23" i="39"/>
  <c r="I23" i="39"/>
  <c r="E23" i="39"/>
  <c r="N22" i="39"/>
  <c r="M22" i="39" s="1"/>
  <c r="L22" i="39"/>
  <c r="J22" i="39"/>
  <c r="I22" i="39"/>
  <c r="E22" i="39"/>
  <c r="N21" i="39"/>
  <c r="M21" i="39" s="1"/>
  <c r="L21" i="39"/>
  <c r="J21" i="39"/>
  <c r="I21" i="39"/>
  <c r="E21" i="39"/>
  <c r="N20" i="39"/>
  <c r="M20" i="39" s="1"/>
  <c r="L20" i="39"/>
  <c r="J20" i="39"/>
  <c r="I20" i="39"/>
  <c r="E20" i="39"/>
  <c r="N19" i="39"/>
  <c r="M19" i="39" s="1"/>
  <c r="L19" i="39"/>
  <c r="J19" i="39"/>
  <c r="I19" i="39"/>
  <c r="E19" i="39"/>
  <c r="D19" i="39" s="1"/>
  <c r="C19" i="39" s="1"/>
  <c r="N18" i="39"/>
  <c r="M18" i="39" s="1"/>
  <c r="L18" i="39"/>
  <c r="J18" i="39"/>
  <c r="I18" i="39"/>
  <c r="E18" i="39"/>
  <c r="N17" i="39"/>
  <c r="M17" i="39"/>
  <c r="L17" i="39"/>
  <c r="J17" i="39"/>
  <c r="I17" i="39"/>
  <c r="E17" i="39"/>
  <c r="N16" i="39"/>
  <c r="M16" i="39" s="1"/>
  <c r="L16" i="39"/>
  <c r="J16" i="39"/>
  <c r="I16" i="39"/>
  <c r="E16" i="39"/>
  <c r="N15" i="39"/>
  <c r="M15" i="39" s="1"/>
  <c r="L15" i="39"/>
  <c r="J15" i="39"/>
  <c r="I15" i="39"/>
  <c r="E15" i="39"/>
  <c r="N14" i="39"/>
  <c r="M14" i="39"/>
  <c r="L14" i="39"/>
  <c r="J14" i="39"/>
  <c r="I14" i="39"/>
  <c r="E14" i="39"/>
  <c r="N13" i="39"/>
  <c r="M13" i="39" s="1"/>
  <c r="L13" i="39"/>
  <c r="J13" i="39"/>
  <c r="I13" i="39"/>
  <c r="E13" i="39"/>
  <c r="N12" i="39"/>
  <c r="M12" i="39" s="1"/>
  <c r="L12" i="39"/>
  <c r="J12" i="39"/>
  <c r="I12" i="39"/>
  <c r="E12" i="39"/>
  <c r="L11" i="39"/>
  <c r="J11" i="39"/>
  <c r="J10" i="39" s="1"/>
  <c r="H11" i="39"/>
  <c r="H10" i="39" s="1"/>
  <c r="G11" i="39"/>
  <c r="F11" i="39"/>
  <c r="F10" i="39" s="1"/>
  <c r="E11" i="39"/>
  <c r="P10" i="39"/>
  <c r="O10" i="39"/>
  <c r="L10" i="39"/>
  <c r="K10" i="39"/>
  <c r="G10" i="39"/>
  <c r="D40" i="41"/>
  <c r="R40" i="41"/>
  <c r="Q40" i="41"/>
  <c r="P40" i="41"/>
  <c r="O40" i="41"/>
  <c r="N40" i="41"/>
  <c r="M40" i="41"/>
  <c r="L40" i="41"/>
  <c r="K40" i="41"/>
  <c r="J40" i="41"/>
  <c r="I40" i="41"/>
  <c r="H40" i="41"/>
  <c r="G40" i="41"/>
  <c r="F40" i="41"/>
  <c r="E40" i="41"/>
  <c r="H15" i="70"/>
  <c r="H12" i="70"/>
  <c r="I10" i="39" l="1"/>
  <c r="D13" i="39"/>
  <c r="D17" i="39"/>
  <c r="D20" i="39"/>
  <c r="C20" i="39" s="1"/>
  <c r="D25" i="39"/>
  <c r="D18" i="39"/>
  <c r="Q18" i="39" s="1"/>
  <c r="D21" i="39"/>
  <c r="Q21" i="39" s="1"/>
  <c r="D11" i="39"/>
  <c r="C40" i="41"/>
  <c r="C78" i="68" s="1"/>
  <c r="D14" i="39"/>
  <c r="Q14" i="39" s="1"/>
  <c r="D16" i="39"/>
  <c r="D23" i="39"/>
  <c r="Q23" i="39" s="1"/>
  <c r="D12" i="39"/>
  <c r="D15" i="39"/>
  <c r="Q15" i="39" s="1"/>
  <c r="Q19" i="39"/>
  <c r="D22" i="39"/>
  <c r="C22" i="39" s="1"/>
  <c r="D24" i="39"/>
  <c r="Q13" i="39"/>
  <c r="C23" i="39"/>
  <c r="Q25" i="39"/>
  <c r="C25" i="39"/>
  <c r="Q16" i="39"/>
  <c r="C16" i="39"/>
  <c r="C12" i="39"/>
  <c r="Q12" i="39"/>
  <c r="Q24" i="39"/>
  <c r="C24" i="39"/>
  <c r="Q17" i="39"/>
  <c r="C17" i="39"/>
  <c r="Q20" i="39"/>
  <c r="C13" i="39"/>
  <c r="C21" i="39"/>
  <c r="E10" i="39"/>
  <c r="N11" i="39"/>
  <c r="N10" i="39" s="1"/>
  <c r="C18" i="39"/>
  <c r="C26" i="39"/>
  <c r="C84" i="68"/>
  <c r="E37" i="41"/>
  <c r="D37" i="41"/>
  <c r="C80" i="68"/>
  <c r="C79" i="68"/>
  <c r="C77" i="68"/>
  <c r="C73" i="68"/>
  <c r="C68" i="68"/>
  <c r="C65" i="68"/>
  <c r="C55" i="68"/>
  <c r="C53" i="68"/>
  <c r="C52" i="68"/>
  <c r="C51" i="68"/>
  <c r="C49" i="68"/>
  <c r="C48" i="68"/>
  <c r="C46" i="68"/>
  <c r="C45" i="68"/>
  <c r="C44" i="68"/>
  <c r="C42" i="68"/>
  <c r="C41" i="68"/>
  <c r="C40" i="68"/>
  <c r="C39" i="68"/>
  <c r="C38" i="68"/>
  <c r="C37" i="68"/>
  <c r="C32" i="68"/>
  <c r="C28" i="68" s="1"/>
  <c r="C24" i="68"/>
  <c r="C21" i="68"/>
  <c r="C20" i="68"/>
  <c r="C19" i="68"/>
  <c r="C17" i="68"/>
  <c r="C16" i="68"/>
  <c r="C15" i="68"/>
  <c r="C14" i="68"/>
  <c r="C13" i="68"/>
  <c r="C12" i="68"/>
  <c r="C11" i="68"/>
  <c r="R42" i="41"/>
  <c r="Q42" i="41"/>
  <c r="P42" i="41"/>
  <c r="O42" i="41"/>
  <c r="N42" i="41"/>
  <c r="M42" i="41"/>
  <c r="L42" i="41"/>
  <c r="K42" i="41"/>
  <c r="J42" i="41"/>
  <c r="I42" i="41"/>
  <c r="H42" i="41"/>
  <c r="G42" i="41"/>
  <c r="F42" i="41"/>
  <c r="E42" i="41"/>
  <c r="D42" i="41"/>
  <c r="R41" i="41"/>
  <c r="Q41" i="41"/>
  <c r="P41" i="41"/>
  <c r="O41" i="41"/>
  <c r="N41" i="41"/>
  <c r="M41" i="41"/>
  <c r="L41" i="41"/>
  <c r="K41" i="41"/>
  <c r="J41" i="41"/>
  <c r="I41" i="41"/>
  <c r="H41" i="41"/>
  <c r="G41" i="41"/>
  <c r="F41" i="41"/>
  <c r="E41" i="41"/>
  <c r="D41" i="41"/>
  <c r="R39" i="41"/>
  <c r="Q39" i="41"/>
  <c r="P39" i="41"/>
  <c r="O39" i="41"/>
  <c r="N39" i="41"/>
  <c r="M39" i="41"/>
  <c r="L39" i="41"/>
  <c r="K39" i="41"/>
  <c r="J39" i="41"/>
  <c r="I39" i="41"/>
  <c r="H39" i="41"/>
  <c r="G39" i="41"/>
  <c r="F39" i="41"/>
  <c r="E39" i="41"/>
  <c r="D39" i="41"/>
  <c r="C38" i="41"/>
  <c r="C36" i="41"/>
  <c r="F35" i="41"/>
  <c r="C35" i="41" s="1"/>
  <c r="R34" i="41"/>
  <c r="Q34" i="41"/>
  <c r="P34" i="41"/>
  <c r="O34" i="41"/>
  <c r="N34" i="41"/>
  <c r="M34" i="41"/>
  <c r="L34" i="41"/>
  <c r="K34" i="41"/>
  <c r="J34" i="41"/>
  <c r="I34" i="41"/>
  <c r="H34" i="41"/>
  <c r="G34" i="41"/>
  <c r="F34" i="41"/>
  <c r="E34" i="41"/>
  <c r="D34" i="41"/>
  <c r="R33" i="41"/>
  <c r="Q33" i="41"/>
  <c r="P33" i="41"/>
  <c r="O33" i="41"/>
  <c r="N33" i="41"/>
  <c r="M33" i="41"/>
  <c r="L33" i="41"/>
  <c r="K33" i="41"/>
  <c r="J33" i="41"/>
  <c r="I33" i="41"/>
  <c r="H33" i="41"/>
  <c r="G33" i="41"/>
  <c r="F33" i="41"/>
  <c r="E33" i="41"/>
  <c r="D33" i="41"/>
  <c r="R32" i="41"/>
  <c r="Q32" i="41"/>
  <c r="P32" i="41"/>
  <c r="O32" i="41"/>
  <c r="N32" i="41"/>
  <c r="M32" i="41"/>
  <c r="L32" i="41"/>
  <c r="K32" i="41"/>
  <c r="J32" i="41"/>
  <c r="I32" i="41"/>
  <c r="H32" i="41"/>
  <c r="G32" i="41"/>
  <c r="F32" i="41"/>
  <c r="E32" i="41"/>
  <c r="D32" i="41"/>
  <c r="C31" i="41"/>
  <c r="R30" i="41"/>
  <c r="Q30" i="41"/>
  <c r="P30" i="41"/>
  <c r="O30" i="41"/>
  <c r="N30" i="41"/>
  <c r="M30" i="41"/>
  <c r="L30" i="41"/>
  <c r="K30" i="41"/>
  <c r="J30" i="41"/>
  <c r="I30" i="41"/>
  <c r="H30" i="41"/>
  <c r="G30" i="41"/>
  <c r="F30" i="41"/>
  <c r="E30" i="41"/>
  <c r="D30" i="41"/>
  <c r="R28" i="41"/>
  <c r="O28" i="41"/>
  <c r="N28" i="41"/>
  <c r="L28" i="41"/>
  <c r="J28" i="41"/>
  <c r="I28" i="41"/>
  <c r="E28" i="41"/>
  <c r="D28" i="41"/>
  <c r="R27" i="41"/>
  <c r="Q27" i="41"/>
  <c r="P27" i="41"/>
  <c r="O27" i="41"/>
  <c r="N27" i="41"/>
  <c r="M27" i="41"/>
  <c r="L27" i="41"/>
  <c r="K27" i="41"/>
  <c r="J27" i="41"/>
  <c r="I27" i="41"/>
  <c r="H27" i="41"/>
  <c r="G27" i="41"/>
  <c r="F27" i="41"/>
  <c r="E27" i="41"/>
  <c r="D27" i="41"/>
  <c r="R26" i="41"/>
  <c r="Q26" i="41"/>
  <c r="P26" i="41"/>
  <c r="O26" i="41"/>
  <c r="N26" i="41"/>
  <c r="M26" i="41"/>
  <c r="L26" i="41"/>
  <c r="K26" i="41"/>
  <c r="J26" i="41"/>
  <c r="I26" i="41"/>
  <c r="H26" i="41"/>
  <c r="G26" i="41"/>
  <c r="F26" i="41"/>
  <c r="E26" i="41"/>
  <c r="D26" i="41"/>
  <c r="R24" i="41"/>
  <c r="Q24" i="41"/>
  <c r="P24" i="41"/>
  <c r="O24" i="41"/>
  <c r="N24" i="41"/>
  <c r="M24" i="41"/>
  <c r="L24" i="41"/>
  <c r="K24" i="41"/>
  <c r="J24" i="41"/>
  <c r="I24" i="41"/>
  <c r="H24" i="41"/>
  <c r="G24" i="41"/>
  <c r="F24" i="41"/>
  <c r="E24" i="41"/>
  <c r="D24" i="41"/>
  <c r="C23" i="41"/>
  <c r="R22" i="41"/>
  <c r="Q22" i="41"/>
  <c r="P22" i="41"/>
  <c r="O22" i="41"/>
  <c r="N22" i="41"/>
  <c r="M22" i="41"/>
  <c r="L22" i="41"/>
  <c r="K22" i="41"/>
  <c r="J22" i="41"/>
  <c r="I22" i="41"/>
  <c r="H22" i="41"/>
  <c r="G22" i="41"/>
  <c r="F22" i="41"/>
  <c r="E22" i="41"/>
  <c r="D22" i="41"/>
  <c r="R21" i="41"/>
  <c r="Q21" i="41"/>
  <c r="P21" i="41"/>
  <c r="O21" i="41"/>
  <c r="N21" i="41"/>
  <c r="M21" i="41"/>
  <c r="L21" i="41"/>
  <c r="K21" i="41"/>
  <c r="J21" i="41"/>
  <c r="I21" i="41"/>
  <c r="H21" i="41"/>
  <c r="G21" i="41"/>
  <c r="F21" i="41"/>
  <c r="E21" i="41"/>
  <c r="D21" i="41"/>
  <c r="R20" i="41"/>
  <c r="Q20" i="41"/>
  <c r="P20" i="41"/>
  <c r="O20" i="41"/>
  <c r="N20" i="41"/>
  <c r="M20" i="41"/>
  <c r="L20" i="41"/>
  <c r="K20" i="41"/>
  <c r="J20" i="41"/>
  <c r="I20" i="41"/>
  <c r="H20" i="41"/>
  <c r="G20" i="41"/>
  <c r="F20" i="41"/>
  <c r="E20" i="41"/>
  <c r="D20" i="41"/>
  <c r="R19" i="41"/>
  <c r="Q19" i="41"/>
  <c r="P19" i="41"/>
  <c r="O19" i="41"/>
  <c r="N19" i="41"/>
  <c r="M19" i="41"/>
  <c r="L19" i="41"/>
  <c r="K19" i="41"/>
  <c r="J19" i="41"/>
  <c r="I19" i="41"/>
  <c r="H19" i="41"/>
  <c r="G19" i="41"/>
  <c r="F19" i="41"/>
  <c r="E19" i="41"/>
  <c r="D19" i="41"/>
  <c r="Q18" i="41"/>
  <c r="P18" i="41"/>
  <c r="N18" i="41"/>
  <c r="M18" i="41"/>
  <c r="L18" i="41"/>
  <c r="K18" i="41"/>
  <c r="I18" i="41"/>
  <c r="H18" i="41"/>
  <c r="G18" i="41"/>
  <c r="F18" i="41"/>
  <c r="E18" i="41"/>
  <c r="D18" i="41"/>
  <c r="R17" i="41"/>
  <c r="Q17" i="41"/>
  <c r="P17" i="41"/>
  <c r="O17" i="41"/>
  <c r="N17" i="41"/>
  <c r="M17" i="41"/>
  <c r="L17" i="41"/>
  <c r="K17" i="41"/>
  <c r="J17" i="41"/>
  <c r="I17" i="41"/>
  <c r="H17" i="41"/>
  <c r="G17" i="41"/>
  <c r="F17" i="41"/>
  <c r="E17" i="41"/>
  <c r="D17" i="41"/>
  <c r="R16" i="41"/>
  <c r="Q16" i="41"/>
  <c r="P16" i="41"/>
  <c r="O16" i="41"/>
  <c r="N16" i="41"/>
  <c r="M16" i="41"/>
  <c r="L16" i="41"/>
  <c r="K16" i="41"/>
  <c r="J16" i="41"/>
  <c r="I16" i="41"/>
  <c r="H16" i="41"/>
  <c r="G16" i="41"/>
  <c r="F16" i="41"/>
  <c r="E16" i="41"/>
  <c r="D16" i="41"/>
  <c r="R15" i="41"/>
  <c r="Q15" i="41"/>
  <c r="P15" i="41"/>
  <c r="O15" i="41"/>
  <c r="N15" i="41"/>
  <c r="M15" i="41"/>
  <c r="L15" i="41"/>
  <c r="K15" i="41"/>
  <c r="J15" i="41"/>
  <c r="I15" i="41"/>
  <c r="H15" i="41"/>
  <c r="G15" i="41"/>
  <c r="F15" i="41"/>
  <c r="E15" i="41"/>
  <c r="D15" i="41"/>
  <c r="R14" i="41"/>
  <c r="Q14" i="41"/>
  <c r="P14" i="41"/>
  <c r="O14" i="41"/>
  <c r="N14" i="41"/>
  <c r="M14" i="41"/>
  <c r="L14" i="41"/>
  <c r="K14" i="41"/>
  <c r="J14" i="41"/>
  <c r="I14" i="41"/>
  <c r="H14" i="41"/>
  <c r="G14" i="41"/>
  <c r="F14" i="41"/>
  <c r="E14" i="41"/>
  <c r="D14" i="41"/>
  <c r="R13" i="41"/>
  <c r="Q13" i="41"/>
  <c r="P13" i="41"/>
  <c r="O13" i="41"/>
  <c r="N13" i="41"/>
  <c r="M13" i="41"/>
  <c r="L13" i="41"/>
  <c r="K13" i="41"/>
  <c r="J13" i="41"/>
  <c r="I13" i="41"/>
  <c r="H13" i="41"/>
  <c r="G13" i="41"/>
  <c r="F13" i="41"/>
  <c r="E13" i="41"/>
  <c r="D13" i="41"/>
  <c r="R12" i="41"/>
  <c r="Q12" i="41"/>
  <c r="P12" i="41"/>
  <c r="O12" i="41"/>
  <c r="N12" i="41"/>
  <c r="M12" i="41"/>
  <c r="L12" i="41"/>
  <c r="K12" i="41"/>
  <c r="J12" i="41"/>
  <c r="I12" i="41"/>
  <c r="H12" i="41"/>
  <c r="G12" i="41"/>
  <c r="F12" i="41"/>
  <c r="E12" i="41"/>
  <c r="D12" i="41"/>
  <c r="C8" i="41"/>
  <c r="Q96" i="70"/>
  <c r="G96" i="70" s="1"/>
  <c r="Q95" i="70"/>
  <c r="G95" i="70" s="1"/>
  <c r="Q94" i="70"/>
  <c r="G94" i="70" s="1"/>
  <c r="Q93" i="70"/>
  <c r="Q91" i="70" s="1"/>
  <c r="Q92" i="70"/>
  <c r="G92" i="70" s="1"/>
  <c r="Q90" i="70"/>
  <c r="G90" i="70"/>
  <c r="Q89" i="70"/>
  <c r="G89" i="70" s="1"/>
  <c r="Q88" i="70"/>
  <c r="G88" i="70" s="1"/>
  <c r="Q87" i="70"/>
  <c r="G87" i="70" s="1"/>
  <c r="Q86" i="70"/>
  <c r="G86" i="70" s="1"/>
  <c r="Q85" i="70"/>
  <c r="Q82" i="70" s="1"/>
  <c r="G84" i="70"/>
  <c r="G83" i="70"/>
  <c r="O80" i="70"/>
  <c r="H80" i="70" s="1"/>
  <c r="G80" i="70" s="1"/>
  <c r="L80" i="70"/>
  <c r="K80" i="70"/>
  <c r="J80" i="70"/>
  <c r="I80" i="70"/>
  <c r="C80" i="70"/>
  <c r="O79" i="70"/>
  <c r="H79" i="70" s="1"/>
  <c r="G79" i="70" s="1"/>
  <c r="L79" i="70"/>
  <c r="K79" i="70"/>
  <c r="J79" i="70"/>
  <c r="I79" i="70"/>
  <c r="C79" i="70"/>
  <c r="O78" i="70"/>
  <c r="H78" i="70" s="1"/>
  <c r="G78" i="70" s="1"/>
  <c r="L78" i="70"/>
  <c r="K78" i="70"/>
  <c r="J78" i="70"/>
  <c r="I78" i="70"/>
  <c r="C78" i="70"/>
  <c r="O77" i="70"/>
  <c r="H77" i="70" s="1"/>
  <c r="G77" i="70" s="1"/>
  <c r="K77" i="70"/>
  <c r="J77" i="70"/>
  <c r="I77" i="70"/>
  <c r="C77" i="70"/>
  <c r="O76" i="70"/>
  <c r="H76" i="70" s="1"/>
  <c r="G76" i="70" s="1"/>
  <c r="L76" i="70"/>
  <c r="K76" i="70"/>
  <c r="J76" i="70"/>
  <c r="I76" i="70"/>
  <c r="C76" i="70"/>
  <c r="O75" i="70"/>
  <c r="H75" i="70" s="1"/>
  <c r="G75" i="70" s="1"/>
  <c r="L75" i="70"/>
  <c r="K75" i="70"/>
  <c r="J75" i="70"/>
  <c r="I75" i="70"/>
  <c r="C75" i="70"/>
  <c r="L74" i="70"/>
  <c r="K74" i="70"/>
  <c r="J74" i="70"/>
  <c r="I74" i="70"/>
  <c r="H74" i="70" s="1"/>
  <c r="G74" i="70" s="1"/>
  <c r="C74" i="70"/>
  <c r="O73" i="70"/>
  <c r="H73" i="70" s="1"/>
  <c r="G73" i="70" s="1"/>
  <c r="K73" i="70"/>
  <c r="J73" i="70"/>
  <c r="I73" i="70"/>
  <c r="C73" i="70"/>
  <c r="O72" i="70"/>
  <c r="H72" i="70" s="1"/>
  <c r="G72" i="70" s="1"/>
  <c r="L72" i="70"/>
  <c r="L67" i="70" s="1"/>
  <c r="K72" i="70"/>
  <c r="K67" i="70" s="1"/>
  <c r="J72" i="70"/>
  <c r="J67" i="70" s="1"/>
  <c r="I72" i="70"/>
  <c r="C72" i="70"/>
  <c r="O71" i="70"/>
  <c r="H71" i="70" s="1"/>
  <c r="G71" i="70" s="1"/>
  <c r="K71" i="70"/>
  <c r="J71" i="70"/>
  <c r="I71" i="70"/>
  <c r="C71" i="70"/>
  <c r="K70" i="70"/>
  <c r="J70" i="70"/>
  <c r="I70" i="70"/>
  <c r="H70" i="70"/>
  <c r="G70" i="70"/>
  <c r="C70" i="70"/>
  <c r="O69" i="70"/>
  <c r="K69" i="70"/>
  <c r="J69" i="70"/>
  <c r="I69" i="70"/>
  <c r="H69" i="70"/>
  <c r="G69" i="70"/>
  <c r="C69" i="70"/>
  <c r="O68" i="70"/>
  <c r="K68" i="70"/>
  <c r="J68" i="70"/>
  <c r="I68" i="70"/>
  <c r="H68" i="70"/>
  <c r="G68" i="70"/>
  <c r="C68" i="70"/>
  <c r="C67" i="70" s="1"/>
  <c r="Q67" i="70"/>
  <c r="Q13" i="70" s="1"/>
  <c r="P67" i="70"/>
  <c r="N67" i="70"/>
  <c r="M67" i="70"/>
  <c r="I67" i="70"/>
  <c r="F67" i="70"/>
  <c r="E67" i="70"/>
  <c r="D67" i="70"/>
  <c r="O66" i="70"/>
  <c r="H66" i="70" s="1"/>
  <c r="G66" i="70" s="1"/>
  <c r="L66" i="70"/>
  <c r="K66" i="70"/>
  <c r="J66" i="70"/>
  <c r="I66" i="70"/>
  <c r="C66" i="70"/>
  <c r="O65" i="70"/>
  <c r="H65" i="70" s="1"/>
  <c r="G65" i="70" s="1"/>
  <c r="K65" i="70"/>
  <c r="J65" i="70"/>
  <c r="I65" i="70"/>
  <c r="C65" i="70"/>
  <c r="O64" i="70"/>
  <c r="H64" i="70" s="1"/>
  <c r="G64" i="70" s="1"/>
  <c r="K64" i="70"/>
  <c r="J64" i="70"/>
  <c r="I64" i="70"/>
  <c r="C64" i="70"/>
  <c r="O63" i="70"/>
  <c r="H63" i="70" s="1"/>
  <c r="G63" i="70" s="1"/>
  <c r="K63" i="70"/>
  <c r="J63" i="70"/>
  <c r="I63" i="70"/>
  <c r="C63" i="70"/>
  <c r="O62" i="70"/>
  <c r="K62" i="70"/>
  <c r="J62" i="70"/>
  <c r="I62" i="70"/>
  <c r="H62" i="70"/>
  <c r="G62" i="70" s="1"/>
  <c r="C62" i="70"/>
  <c r="O61" i="70"/>
  <c r="L61" i="70"/>
  <c r="K61" i="70"/>
  <c r="J61" i="70"/>
  <c r="I61" i="70"/>
  <c r="H61" i="70"/>
  <c r="G61" i="70" s="1"/>
  <c r="C61" i="70"/>
  <c r="O60" i="70"/>
  <c r="K60" i="70"/>
  <c r="J60" i="70"/>
  <c r="I60" i="70"/>
  <c r="H60" i="70"/>
  <c r="G60" i="70"/>
  <c r="C60" i="70"/>
  <c r="O59" i="70"/>
  <c r="K59" i="70"/>
  <c r="J59" i="70"/>
  <c r="I59" i="70"/>
  <c r="H59" i="70"/>
  <c r="G59" i="70"/>
  <c r="C59" i="70"/>
  <c r="O58" i="70"/>
  <c r="L58" i="70"/>
  <c r="K58" i="70"/>
  <c r="J58" i="70"/>
  <c r="I58" i="70"/>
  <c r="H58" i="70"/>
  <c r="G58" i="70"/>
  <c r="C58" i="70"/>
  <c r="O57" i="70"/>
  <c r="K57" i="70"/>
  <c r="J57" i="70"/>
  <c r="I57" i="70"/>
  <c r="H57" i="70"/>
  <c r="G57" i="70"/>
  <c r="C57" i="70"/>
  <c r="O56" i="70"/>
  <c r="H56" i="70" s="1"/>
  <c r="G56" i="70" s="1"/>
  <c r="K56" i="70"/>
  <c r="J56" i="70"/>
  <c r="I56" i="70"/>
  <c r="C56" i="70"/>
  <c r="O55" i="70"/>
  <c r="H55" i="70" s="1"/>
  <c r="G55" i="70" s="1"/>
  <c r="K55" i="70"/>
  <c r="J55" i="70"/>
  <c r="I55" i="70"/>
  <c r="C55" i="70"/>
  <c r="O54" i="70"/>
  <c r="H54" i="70" s="1"/>
  <c r="G54" i="70" s="1"/>
  <c r="K54" i="70"/>
  <c r="J54" i="70"/>
  <c r="I54" i="70"/>
  <c r="C54" i="70"/>
  <c r="O53" i="70"/>
  <c r="H53" i="70" s="1"/>
  <c r="G53" i="70" s="1"/>
  <c r="L53" i="70"/>
  <c r="K53" i="70"/>
  <c r="J53" i="70"/>
  <c r="I53" i="70"/>
  <c r="C53" i="70"/>
  <c r="O52" i="70"/>
  <c r="H52" i="70" s="1"/>
  <c r="G52" i="70" s="1"/>
  <c r="L52" i="70"/>
  <c r="K52" i="70"/>
  <c r="J52" i="70"/>
  <c r="I52" i="70"/>
  <c r="C52" i="70"/>
  <c r="O51" i="70"/>
  <c r="H51" i="70" s="1"/>
  <c r="G51" i="70" s="1"/>
  <c r="K51" i="70"/>
  <c r="K32" i="70" s="1"/>
  <c r="J51" i="70"/>
  <c r="J32" i="70" s="1"/>
  <c r="I51" i="70"/>
  <c r="I32" i="70" s="1"/>
  <c r="C51" i="70"/>
  <c r="O50" i="70"/>
  <c r="K50" i="70"/>
  <c r="J50" i="70"/>
  <c r="I50" i="70"/>
  <c r="H50" i="70"/>
  <c r="G50" i="70" s="1"/>
  <c r="C50" i="70"/>
  <c r="O49" i="70"/>
  <c r="K49" i="70"/>
  <c r="J49" i="70"/>
  <c r="I49" i="70"/>
  <c r="H49" i="70"/>
  <c r="G49" i="70"/>
  <c r="C49" i="70"/>
  <c r="O48" i="70"/>
  <c r="L48" i="70"/>
  <c r="K48" i="70"/>
  <c r="J48" i="70"/>
  <c r="I48" i="70"/>
  <c r="H48" i="70"/>
  <c r="G48" i="70"/>
  <c r="C48" i="70"/>
  <c r="O47" i="70"/>
  <c r="L47" i="70"/>
  <c r="K47" i="70"/>
  <c r="J47" i="70"/>
  <c r="I47" i="70"/>
  <c r="H47" i="70"/>
  <c r="G47" i="70"/>
  <c r="C47" i="70"/>
  <c r="O46" i="70"/>
  <c r="K46" i="70"/>
  <c r="J46" i="70"/>
  <c r="I46" i="70"/>
  <c r="H46" i="70"/>
  <c r="G46" i="70"/>
  <c r="C46" i="70"/>
  <c r="O45" i="70"/>
  <c r="L45" i="70"/>
  <c r="K45" i="70"/>
  <c r="J45" i="70"/>
  <c r="I45" i="70"/>
  <c r="H45" i="70"/>
  <c r="G45" i="70"/>
  <c r="C45" i="70"/>
  <c r="O44" i="70"/>
  <c r="L44" i="70"/>
  <c r="K44" i="70"/>
  <c r="J44" i="70"/>
  <c r="I44" i="70"/>
  <c r="H44" i="70"/>
  <c r="G44" i="70"/>
  <c r="C44" i="70"/>
  <c r="O43" i="70"/>
  <c r="L43" i="70"/>
  <c r="K43" i="70"/>
  <c r="J43" i="70"/>
  <c r="I43" i="70"/>
  <c r="H43" i="70"/>
  <c r="G43" i="70"/>
  <c r="C43" i="70"/>
  <c r="O42" i="70"/>
  <c r="L42" i="70"/>
  <c r="K42" i="70"/>
  <c r="J42" i="70"/>
  <c r="I42" i="70"/>
  <c r="H42" i="70"/>
  <c r="G42" i="70"/>
  <c r="C42" i="70"/>
  <c r="O41" i="70"/>
  <c r="L41" i="70"/>
  <c r="K41" i="70"/>
  <c r="J41" i="70"/>
  <c r="I41" i="70"/>
  <c r="H41" i="70"/>
  <c r="G41" i="70"/>
  <c r="C41" i="70"/>
  <c r="O40" i="70"/>
  <c r="L40" i="70"/>
  <c r="K40" i="70"/>
  <c r="J40" i="70"/>
  <c r="I40" i="70"/>
  <c r="H40" i="70"/>
  <c r="G40" i="70"/>
  <c r="C40" i="70"/>
  <c r="O39" i="70"/>
  <c r="L39" i="70"/>
  <c r="K39" i="70"/>
  <c r="J39" i="70"/>
  <c r="I39" i="70"/>
  <c r="H39" i="70"/>
  <c r="G39" i="70"/>
  <c r="C39" i="70"/>
  <c r="O38" i="70"/>
  <c r="L38" i="70"/>
  <c r="K38" i="70"/>
  <c r="J38" i="70"/>
  <c r="I38" i="70"/>
  <c r="H38" i="70"/>
  <c r="G38" i="70"/>
  <c r="C38" i="70"/>
  <c r="O37" i="70"/>
  <c r="K37" i="70"/>
  <c r="J37" i="70"/>
  <c r="I37" i="70"/>
  <c r="H37" i="70"/>
  <c r="G37" i="70"/>
  <c r="C37" i="70"/>
  <c r="O36" i="70"/>
  <c r="H36" i="70" s="1"/>
  <c r="G36" i="70" s="1"/>
  <c r="K36" i="70"/>
  <c r="J36" i="70"/>
  <c r="I36" i="70"/>
  <c r="C36" i="70"/>
  <c r="O35" i="70"/>
  <c r="H35" i="70" s="1"/>
  <c r="G35" i="70" s="1"/>
  <c r="L35" i="70"/>
  <c r="K35" i="70"/>
  <c r="J35" i="70"/>
  <c r="I35" i="70"/>
  <c r="C35" i="70"/>
  <c r="O34" i="70"/>
  <c r="H34" i="70" s="1"/>
  <c r="G34" i="70" s="1"/>
  <c r="L34" i="70"/>
  <c r="K34" i="70"/>
  <c r="J34" i="70"/>
  <c r="I34" i="70"/>
  <c r="C34" i="70"/>
  <c r="O33" i="70"/>
  <c r="O32" i="70" s="1"/>
  <c r="L33" i="70"/>
  <c r="L32" i="70" s="1"/>
  <c r="K33" i="70"/>
  <c r="J33" i="70"/>
  <c r="I33" i="70"/>
  <c r="C33" i="70"/>
  <c r="C32" i="70" s="1"/>
  <c r="Q32" i="70"/>
  <c r="P32" i="70"/>
  <c r="P13" i="70" s="1"/>
  <c r="N32" i="70"/>
  <c r="M32" i="70"/>
  <c r="F32" i="70"/>
  <c r="E32" i="70"/>
  <c r="D32" i="70"/>
  <c r="O31" i="70"/>
  <c r="H31" i="70" s="1"/>
  <c r="G31" i="70" s="1"/>
  <c r="L31" i="70"/>
  <c r="K31" i="70"/>
  <c r="J31" i="70"/>
  <c r="I31" i="70"/>
  <c r="C31" i="70"/>
  <c r="O30" i="70"/>
  <c r="H30" i="70" s="1"/>
  <c r="G30" i="70" s="1"/>
  <c r="L30" i="70"/>
  <c r="K30" i="70"/>
  <c r="J30" i="70"/>
  <c r="I30" i="70"/>
  <c r="C30" i="70"/>
  <c r="O29" i="70"/>
  <c r="H29" i="70" s="1"/>
  <c r="G29" i="70" s="1"/>
  <c r="L29" i="70"/>
  <c r="K29" i="70"/>
  <c r="J29" i="70"/>
  <c r="I29" i="70"/>
  <c r="C29" i="70"/>
  <c r="O28" i="70"/>
  <c r="H28" i="70" s="1"/>
  <c r="G28" i="70" s="1"/>
  <c r="L28" i="70"/>
  <c r="K28" i="70"/>
  <c r="J28" i="70"/>
  <c r="I28" i="70"/>
  <c r="C28" i="70"/>
  <c r="O27" i="70"/>
  <c r="H27" i="70" s="1"/>
  <c r="G27" i="70" s="1"/>
  <c r="L27" i="70"/>
  <c r="K27" i="70"/>
  <c r="J27" i="70"/>
  <c r="I27" i="70"/>
  <c r="C27" i="70"/>
  <c r="O26" i="70"/>
  <c r="H26" i="70" s="1"/>
  <c r="G26" i="70" s="1"/>
  <c r="L26" i="70"/>
  <c r="K26" i="70"/>
  <c r="J26" i="70"/>
  <c r="I26" i="70"/>
  <c r="C26" i="70"/>
  <c r="L25" i="70"/>
  <c r="K25" i="70"/>
  <c r="J25" i="70"/>
  <c r="H25" i="70" s="1"/>
  <c r="G25" i="70" s="1"/>
  <c r="I25" i="70"/>
  <c r="C25" i="70"/>
  <c r="O24" i="70"/>
  <c r="H24" i="70" s="1"/>
  <c r="G24" i="70" s="1"/>
  <c r="L24" i="70"/>
  <c r="K24" i="70"/>
  <c r="J24" i="70"/>
  <c r="I24" i="70"/>
  <c r="C24" i="70"/>
  <c r="L23" i="70"/>
  <c r="K23" i="70"/>
  <c r="J23" i="70"/>
  <c r="I23" i="70"/>
  <c r="H23" i="70" s="1"/>
  <c r="G23" i="70" s="1"/>
  <c r="C23" i="70"/>
  <c r="O22" i="70"/>
  <c r="H22" i="70" s="1"/>
  <c r="G22" i="70" s="1"/>
  <c r="L22" i="70"/>
  <c r="K22" i="70"/>
  <c r="J22" i="70"/>
  <c r="I22" i="70"/>
  <c r="C22" i="70"/>
  <c r="O21" i="70"/>
  <c r="H21" i="70" s="1"/>
  <c r="G21" i="70" s="1"/>
  <c r="L21" i="70"/>
  <c r="K21" i="70"/>
  <c r="J21" i="70"/>
  <c r="I21" i="70"/>
  <c r="C21" i="70"/>
  <c r="O20" i="70"/>
  <c r="H20" i="70" s="1"/>
  <c r="G20" i="70" s="1"/>
  <c r="L20" i="70"/>
  <c r="K20" i="70"/>
  <c r="J20" i="70"/>
  <c r="I20" i="70"/>
  <c r="C20" i="70"/>
  <c r="O19" i="70"/>
  <c r="H19" i="70" s="1"/>
  <c r="G19" i="70" s="1"/>
  <c r="L19" i="70"/>
  <c r="K19" i="70"/>
  <c r="J19" i="70"/>
  <c r="I19" i="70"/>
  <c r="C19" i="70"/>
  <c r="O18" i="70"/>
  <c r="L18" i="70"/>
  <c r="K18" i="70"/>
  <c r="J18" i="70"/>
  <c r="I18" i="70"/>
  <c r="H18" i="70"/>
  <c r="G18" i="70"/>
  <c r="C18" i="70"/>
  <c r="C14" i="70" s="1"/>
  <c r="O17" i="70"/>
  <c r="L17" i="70"/>
  <c r="K17" i="70"/>
  <c r="J17" i="70"/>
  <c r="I17" i="70"/>
  <c r="H17" i="70"/>
  <c r="G17" i="70"/>
  <c r="C17" i="70"/>
  <c r="O16" i="70"/>
  <c r="L16" i="70"/>
  <c r="K16" i="70"/>
  <c r="J16" i="70"/>
  <c r="I16" i="70"/>
  <c r="H16" i="70"/>
  <c r="G16" i="70" s="1"/>
  <c r="C16" i="70"/>
  <c r="L15" i="70"/>
  <c r="L14" i="70" s="1"/>
  <c r="K15" i="70"/>
  <c r="K14" i="70" s="1"/>
  <c r="J15" i="70"/>
  <c r="J14" i="70" s="1"/>
  <c r="I15" i="70"/>
  <c r="I14" i="70" s="1"/>
  <c r="G15" i="70"/>
  <c r="C15" i="70"/>
  <c r="T14" i="70"/>
  <c r="Q14" i="70"/>
  <c r="P14" i="70"/>
  <c r="N14" i="70"/>
  <c r="N13" i="70" s="1"/>
  <c r="N12" i="70" s="1"/>
  <c r="M14" i="70"/>
  <c r="M13" i="70" s="1"/>
  <c r="M12" i="70" s="1"/>
  <c r="F14" i="70"/>
  <c r="F13" i="70" s="1"/>
  <c r="F12" i="70" s="1"/>
  <c r="E14" i="70"/>
  <c r="E13" i="70" s="1"/>
  <c r="E12" i="70" s="1"/>
  <c r="D14" i="70"/>
  <c r="D13" i="70"/>
  <c r="D12" i="70" s="1"/>
  <c r="Q82" i="35"/>
  <c r="G82" i="35"/>
  <c r="C82" i="35"/>
  <c r="G81" i="35"/>
  <c r="F81" i="35" s="1"/>
  <c r="C81" i="35"/>
  <c r="O80" i="35"/>
  <c r="F80" i="35" s="1"/>
  <c r="G79" i="35"/>
  <c r="F79" i="35" s="1"/>
  <c r="G78" i="35"/>
  <c r="F78" i="35" s="1"/>
  <c r="G77" i="35"/>
  <c r="F77" i="35" s="1"/>
  <c r="G76" i="35"/>
  <c r="F76" i="35" s="1"/>
  <c r="O75" i="35"/>
  <c r="N75" i="35"/>
  <c r="M75" i="35"/>
  <c r="L75" i="35"/>
  <c r="J75" i="35"/>
  <c r="I75" i="35"/>
  <c r="H75" i="35"/>
  <c r="G74" i="35"/>
  <c r="F74" i="35" s="1"/>
  <c r="C74" i="35"/>
  <c r="G73" i="35"/>
  <c r="F73" i="35" s="1"/>
  <c r="C73" i="35"/>
  <c r="C72" i="35" s="1"/>
  <c r="O72" i="35"/>
  <c r="M72" i="35"/>
  <c r="L72" i="35"/>
  <c r="J72" i="35"/>
  <c r="I72" i="35"/>
  <c r="H72" i="35"/>
  <c r="E72" i="35"/>
  <c r="D72" i="35"/>
  <c r="G71" i="35"/>
  <c r="F71" i="35" s="1"/>
  <c r="C71" i="35"/>
  <c r="G70" i="35"/>
  <c r="F70" i="35" s="1"/>
  <c r="C70" i="35"/>
  <c r="G69" i="35"/>
  <c r="F69" i="35" s="1"/>
  <c r="C69" i="35"/>
  <c r="G68" i="35"/>
  <c r="F68" i="35" s="1"/>
  <c r="C68" i="35"/>
  <c r="O67" i="35"/>
  <c r="O63" i="35" s="1"/>
  <c r="O62" i="35" s="1"/>
  <c r="G67" i="35"/>
  <c r="G66" i="35"/>
  <c r="F66" i="35" s="1"/>
  <c r="C66" i="35"/>
  <c r="G65" i="35"/>
  <c r="F65" i="35" s="1"/>
  <c r="C65" i="35"/>
  <c r="L64" i="35"/>
  <c r="L63" i="35" s="1"/>
  <c r="L62" i="35" s="1"/>
  <c r="J64" i="35"/>
  <c r="J63" i="35" s="1"/>
  <c r="J62" i="35" s="1"/>
  <c r="I64" i="35"/>
  <c r="I63" i="35" s="1"/>
  <c r="I62" i="35" s="1"/>
  <c r="H64" i="35"/>
  <c r="H63" i="35" s="1"/>
  <c r="H62" i="35" s="1"/>
  <c r="E64" i="35"/>
  <c r="C64" i="35" s="1"/>
  <c r="D63" i="35"/>
  <c r="D62" i="35" s="1"/>
  <c r="K62" i="35"/>
  <c r="G61" i="35"/>
  <c r="F61" i="35" s="1"/>
  <c r="C61" i="35"/>
  <c r="G60" i="35"/>
  <c r="G59" i="35"/>
  <c r="F59" i="35" s="1"/>
  <c r="R58" i="35"/>
  <c r="J58" i="35"/>
  <c r="J54" i="35" s="1"/>
  <c r="H58" i="35"/>
  <c r="C58" i="35"/>
  <c r="M58" i="35" s="1"/>
  <c r="C57" i="35"/>
  <c r="H56" i="35"/>
  <c r="C56" i="35"/>
  <c r="N56" i="35" s="1"/>
  <c r="N55" i="35"/>
  <c r="M55" i="35"/>
  <c r="I55" i="35"/>
  <c r="H55" i="35"/>
  <c r="O54" i="35"/>
  <c r="L54" i="35"/>
  <c r="K54" i="35"/>
  <c r="E54" i="35"/>
  <c r="D54" i="35"/>
  <c r="I53" i="35"/>
  <c r="H53" i="35"/>
  <c r="J53" i="35" s="1"/>
  <c r="C53" i="35"/>
  <c r="N53" i="35" s="1"/>
  <c r="H52" i="35"/>
  <c r="I52" i="35" s="1"/>
  <c r="C52" i="35"/>
  <c r="N52" i="35" s="1"/>
  <c r="H51" i="35"/>
  <c r="I51" i="35" s="1"/>
  <c r="C51" i="35"/>
  <c r="N51" i="35" s="1"/>
  <c r="H50" i="35"/>
  <c r="I50" i="35" s="1"/>
  <c r="C50" i="35"/>
  <c r="N50" i="35" s="1"/>
  <c r="H49" i="35"/>
  <c r="I49" i="35" s="1"/>
  <c r="C49" i="35"/>
  <c r="N49" i="35" s="1"/>
  <c r="O48" i="35"/>
  <c r="L48" i="35"/>
  <c r="K48" i="35"/>
  <c r="E48" i="35"/>
  <c r="D48" i="35"/>
  <c r="H47" i="35"/>
  <c r="I47" i="35" s="1"/>
  <c r="C47" i="35"/>
  <c r="N47" i="35" s="1"/>
  <c r="N46" i="35"/>
  <c r="M46" i="35"/>
  <c r="H46" i="35"/>
  <c r="I46" i="35" s="1"/>
  <c r="H45" i="35"/>
  <c r="J45" i="35" s="1"/>
  <c r="C45" i="35"/>
  <c r="N45" i="35" s="1"/>
  <c r="H44" i="35"/>
  <c r="I44" i="35" s="1"/>
  <c r="C44" i="35"/>
  <c r="N44" i="35" s="1"/>
  <c r="H43" i="35"/>
  <c r="J43" i="35" s="1"/>
  <c r="C43" i="35"/>
  <c r="N43" i="35" s="1"/>
  <c r="H42" i="35"/>
  <c r="J42" i="35" s="1"/>
  <c r="C42" i="35"/>
  <c r="N42" i="35" s="1"/>
  <c r="H41" i="35"/>
  <c r="J41" i="35" s="1"/>
  <c r="C41" i="35"/>
  <c r="N41" i="35" s="1"/>
  <c r="H40" i="35"/>
  <c r="I40" i="35" s="1"/>
  <c r="C40" i="35"/>
  <c r="N40" i="35" s="1"/>
  <c r="H39" i="35"/>
  <c r="J39" i="35" s="1"/>
  <c r="C39" i="35"/>
  <c r="N39" i="35" s="1"/>
  <c r="H38" i="35"/>
  <c r="J38" i="35" s="1"/>
  <c r="C38" i="35"/>
  <c r="N38" i="35" s="1"/>
  <c r="G37" i="35"/>
  <c r="G36" i="35"/>
  <c r="O35" i="35"/>
  <c r="O34" i="35" s="1"/>
  <c r="I35" i="35"/>
  <c r="H35" i="35"/>
  <c r="J35" i="35" s="1"/>
  <c r="C35" i="35"/>
  <c r="N35" i="35" s="1"/>
  <c r="L34" i="35"/>
  <c r="K34" i="35"/>
  <c r="K33" i="35" s="1"/>
  <c r="E34" i="35"/>
  <c r="D34" i="35"/>
  <c r="J32" i="35"/>
  <c r="H32" i="35"/>
  <c r="E32" i="35"/>
  <c r="C32" i="35" s="1"/>
  <c r="N32" i="35" s="1"/>
  <c r="M31" i="35"/>
  <c r="G31" i="35" s="1"/>
  <c r="F31" i="35" s="1"/>
  <c r="C31" i="35"/>
  <c r="J30" i="35"/>
  <c r="H30" i="35"/>
  <c r="I30" i="35" s="1"/>
  <c r="C30" i="35"/>
  <c r="N30" i="35" s="1"/>
  <c r="O29" i="35"/>
  <c r="L29" i="35"/>
  <c r="K29" i="35"/>
  <c r="E29" i="35"/>
  <c r="D29" i="35"/>
  <c r="G28" i="35"/>
  <c r="F28" i="35" s="1"/>
  <c r="C28" i="35"/>
  <c r="G27" i="35"/>
  <c r="F27" i="35" s="1"/>
  <c r="C27" i="35"/>
  <c r="T26" i="35"/>
  <c r="T27" i="35" s="1"/>
  <c r="T28" i="35" s="1"/>
  <c r="G26" i="35"/>
  <c r="F26" i="35" s="1"/>
  <c r="C26" i="35"/>
  <c r="H25" i="35"/>
  <c r="I25" i="35" s="1"/>
  <c r="C25" i="35"/>
  <c r="N25" i="35" s="1"/>
  <c r="H24" i="35"/>
  <c r="I24" i="35" s="1"/>
  <c r="C24" i="35"/>
  <c r="M24" i="35" s="1"/>
  <c r="H23" i="35"/>
  <c r="I23" i="35" s="1"/>
  <c r="C23" i="35"/>
  <c r="M23" i="35" s="1"/>
  <c r="J22" i="35"/>
  <c r="J21" i="35" s="1"/>
  <c r="H22" i="35"/>
  <c r="I22" i="35" s="1"/>
  <c r="C22" i="35"/>
  <c r="N22" i="35" s="1"/>
  <c r="O21" i="35"/>
  <c r="O20" i="35" s="1"/>
  <c r="L21" i="35"/>
  <c r="K21" i="35"/>
  <c r="K20" i="35" s="1"/>
  <c r="E21" i="35"/>
  <c r="D21" i="35"/>
  <c r="G19" i="35"/>
  <c r="F19" i="35" s="1"/>
  <c r="Q18" i="35"/>
  <c r="G18" i="35"/>
  <c r="F18" i="35" s="1"/>
  <c r="C18" i="35"/>
  <c r="M17" i="35"/>
  <c r="M16" i="35" s="1"/>
  <c r="C17" i="35"/>
  <c r="C16" i="35" s="1"/>
  <c r="O16" i="35"/>
  <c r="N16" i="35"/>
  <c r="L16" i="35"/>
  <c r="J16" i="35"/>
  <c r="I16" i="35"/>
  <c r="H16" i="35"/>
  <c r="E16" i="35"/>
  <c r="D16" i="35"/>
  <c r="E11" i="41" l="1"/>
  <c r="I11" i="41"/>
  <c r="M11" i="41"/>
  <c r="Q11" i="41"/>
  <c r="G25" i="41"/>
  <c r="K25" i="41"/>
  <c r="O25" i="41"/>
  <c r="E29" i="41"/>
  <c r="I29" i="41"/>
  <c r="M29" i="41"/>
  <c r="Q29" i="41"/>
  <c r="D11" i="41"/>
  <c r="F11" i="41"/>
  <c r="H11" i="41"/>
  <c r="J11" i="41"/>
  <c r="L11" i="41"/>
  <c r="N11" i="41"/>
  <c r="P11" i="41"/>
  <c r="R11" i="41"/>
  <c r="D25" i="41"/>
  <c r="F25" i="41"/>
  <c r="H25" i="41"/>
  <c r="J25" i="41"/>
  <c r="L25" i="41"/>
  <c r="R25" i="41"/>
  <c r="D29" i="41"/>
  <c r="F29" i="41"/>
  <c r="H29" i="41"/>
  <c r="J29" i="41"/>
  <c r="L29" i="41"/>
  <c r="N29" i="41"/>
  <c r="I45" i="35"/>
  <c r="H48" i="35"/>
  <c r="J49" i="35"/>
  <c r="F67" i="35"/>
  <c r="J46" i="35"/>
  <c r="J47" i="35"/>
  <c r="J51" i="35"/>
  <c r="H54" i="35"/>
  <c r="G72" i="35"/>
  <c r="C18" i="68"/>
  <c r="C25" i="68" s="1"/>
  <c r="C23" i="68" s="1"/>
  <c r="C22" i="68" s="1"/>
  <c r="C69" i="68"/>
  <c r="D10" i="39"/>
  <c r="C10" i="39" s="1"/>
  <c r="Q22" i="39"/>
  <c r="C11" i="39"/>
  <c r="C14" i="39"/>
  <c r="C15" i="39"/>
  <c r="M22" i="35"/>
  <c r="I41" i="35"/>
  <c r="I42" i="35"/>
  <c r="M47" i="35"/>
  <c r="G55" i="35"/>
  <c r="E20" i="35"/>
  <c r="I38" i="35"/>
  <c r="C54" i="35"/>
  <c r="F72" i="35"/>
  <c r="K15" i="35"/>
  <c r="H34" i="35"/>
  <c r="N23" i="35"/>
  <c r="H29" i="35"/>
  <c r="N29" i="35"/>
  <c r="M39" i="35"/>
  <c r="J40" i="35"/>
  <c r="M43" i="35"/>
  <c r="J44" i="35"/>
  <c r="M56" i="35"/>
  <c r="G56" i="35" s="1"/>
  <c r="F56" i="35" s="1"/>
  <c r="E63" i="35"/>
  <c r="E62" i="35" s="1"/>
  <c r="E33" i="35" s="1"/>
  <c r="E15" i="35" s="1"/>
  <c r="M40" i="35"/>
  <c r="M44" i="35"/>
  <c r="J52" i="35"/>
  <c r="G17" i="35"/>
  <c r="F17" i="35" s="1"/>
  <c r="F16" i="35" s="1"/>
  <c r="G23" i="35"/>
  <c r="F23" i="35" s="1"/>
  <c r="D20" i="35"/>
  <c r="L20" i="35"/>
  <c r="I39" i="35"/>
  <c r="G39" i="35" s="1"/>
  <c r="F39" i="35" s="1"/>
  <c r="M41" i="35"/>
  <c r="I43" i="35"/>
  <c r="G43" i="35" s="1"/>
  <c r="F43" i="35" s="1"/>
  <c r="M45" i="35"/>
  <c r="G45" i="35" s="1"/>
  <c r="F45" i="35" s="1"/>
  <c r="N24" i="35"/>
  <c r="J29" i="35"/>
  <c r="D33" i="35"/>
  <c r="M38" i="35"/>
  <c r="G38" i="35" s="1"/>
  <c r="F38" i="35" s="1"/>
  <c r="M42" i="35"/>
  <c r="G42" i="35" s="1"/>
  <c r="F42" i="35" s="1"/>
  <c r="G46" i="35"/>
  <c r="F46" i="35" s="1"/>
  <c r="J50" i="35"/>
  <c r="N57" i="35"/>
  <c r="N58" i="35"/>
  <c r="F75" i="35"/>
  <c r="C10" i="68"/>
  <c r="C9" i="68" s="1"/>
  <c r="D9" i="68" s="1"/>
  <c r="C47" i="68"/>
  <c r="P25" i="41"/>
  <c r="R29" i="41"/>
  <c r="G11" i="41"/>
  <c r="K11" i="41"/>
  <c r="O11" i="41"/>
  <c r="E25" i="41"/>
  <c r="I25" i="41"/>
  <c r="M25" i="41"/>
  <c r="Q25" i="41"/>
  <c r="G29" i="41"/>
  <c r="K29" i="41"/>
  <c r="O29" i="41"/>
  <c r="C33" i="41"/>
  <c r="N25" i="41"/>
  <c r="P29" i="41"/>
  <c r="M11" i="39"/>
  <c r="M10" i="39" s="1"/>
  <c r="G85" i="70"/>
  <c r="G82" i="70" s="1"/>
  <c r="G93" i="70"/>
  <c r="G91" i="70" s="1"/>
  <c r="C43" i="68"/>
  <c r="C63" i="68"/>
  <c r="C54" i="68" s="1"/>
  <c r="C14" i="41"/>
  <c r="C13" i="41"/>
  <c r="C42" i="41"/>
  <c r="C85" i="68" s="1"/>
  <c r="D79" i="68" s="1"/>
  <c r="C22" i="41"/>
  <c r="C20" i="41"/>
  <c r="C27" i="41"/>
  <c r="C37" i="41"/>
  <c r="C16" i="41"/>
  <c r="C19" i="41"/>
  <c r="C26" i="41"/>
  <c r="C30" i="41"/>
  <c r="C34" i="41"/>
  <c r="C41" i="41"/>
  <c r="C18" i="41"/>
  <c r="C21" i="41"/>
  <c r="C28" i="41"/>
  <c r="C39" i="41"/>
  <c r="C17" i="41"/>
  <c r="C15" i="41"/>
  <c r="C24" i="41"/>
  <c r="C12" i="41"/>
  <c r="C32" i="41"/>
  <c r="J13" i="70"/>
  <c r="J12" i="70" s="1"/>
  <c r="K13" i="70"/>
  <c r="K12" i="70" s="1"/>
  <c r="L13" i="70"/>
  <c r="L12" i="70" s="1"/>
  <c r="I13" i="70"/>
  <c r="Q12" i="70"/>
  <c r="T21" i="70"/>
  <c r="G14" i="70"/>
  <c r="C13" i="70"/>
  <c r="C12" i="70" s="1"/>
  <c r="G67" i="70"/>
  <c r="H67" i="70"/>
  <c r="O14" i="70"/>
  <c r="H33" i="70"/>
  <c r="O67" i="70"/>
  <c r="O13" i="70" s="1"/>
  <c r="H14" i="70"/>
  <c r="N34" i="35"/>
  <c r="G22" i="35"/>
  <c r="I21" i="35"/>
  <c r="J20" i="35"/>
  <c r="O33" i="35"/>
  <c r="N48" i="35"/>
  <c r="F55" i="35"/>
  <c r="L33" i="35"/>
  <c r="L15" i="35" s="1"/>
  <c r="I48" i="35"/>
  <c r="N64" i="35"/>
  <c r="N63" i="35" s="1"/>
  <c r="N62" i="35" s="1"/>
  <c r="M64" i="35"/>
  <c r="M63" i="35" s="1"/>
  <c r="M62" i="35" s="1"/>
  <c r="C63" i="35"/>
  <c r="C62" i="35" s="1"/>
  <c r="I32" i="35"/>
  <c r="I29" i="35" s="1"/>
  <c r="H21" i="35"/>
  <c r="H20" i="35" s="1"/>
  <c r="H33" i="35"/>
  <c r="C48" i="35"/>
  <c r="I58" i="35"/>
  <c r="G58" i="35" s="1"/>
  <c r="F58" i="35" s="1"/>
  <c r="G24" i="35"/>
  <c r="F24" i="35" s="1"/>
  <c r="C29" i="35"/>
  <c r="M32" i="35"/>
  <c r="C34" i="35"/>
  <c r="M57" i="35"/>
  <c r="G57" i="35" s="1"/>
  <c r="F57" i="35" s="1"/>
  <c r="C21" i="35"/>
  <c r="C20" i="35" s="1"/>
  <c r="M50" i="35"/>
  <c r="M52" i="35"/>
  <c r="G52" i="35" s="1"/>
  <c r="F52" i="35" s="1"/>
  <c r="M53" i="35"/>
  <c r="G53" i="35" s="1"/>
  <c r="F53" i="35" s="1"/>
  <c r="M25" i="35"/>
  <c r="M21" i="35" s="1"/>
  <c r="M49" i="35"/>
  <c r="G49" i="35" s="1"/>
  <c r="F49" i="35" s="1"/>
  <c r="M51" i="35"/>
  <c r="G51" i="35" s="1"/>
  <c r="F51" i="35" s="1"/>
  <c r="G16" i="35"/>
  <c r="M30" i="35"/>
  <c r="M35" i="35"/>
  <c r="M34" i="35" s="1"/>
  <c r="G75" i="35"/>
  <c r="O10" i="41" l="1"/>
  <c r="O43" i="41" s="1"/>
  <c r="O9" i="41" s="1"/>
  <c r="G41" i="35"/>
  <c r="F41" i="35" s="1"/>
  <c r="J48" i="35"/>
  <c r="M29" i="35"/>
  <c r="M20" i="35" s="1"/>
  <c r="H15" i="35"/>
  <c r="G64" i="35"/>
  <c r="G63" i="35" s="1"/>
  <c r="G62" i="35" s="1"/>
  <c r="G44" i="35"/>
  <c r="F44" i="35" s="1"/>
  <c r="G47" i="35"/>
  <c r="F47" i="35" s="1"/>
  <c r="C36" i="68"/>
  <c r="Q11" i="39"/>
  <c r="Q10" i="39" s="1"/>
  <c r="D15" i="35"/>
  <c r="G40" i="35"/>
  <c r="F40" i="35" s="1"/>
  <c r="N21" i="35"/>
  <c r="N20" i="35" s="1"/>
  <c r="S58" i="35"/>
  <c r="I54" i="35"/>
  <c r="G50" i="35"/>
  <c r="F50" i="35" s="1"/>
  <c r="F48" i="35" s="1"/>
  <c r="N54" i="35"/>
  <c r="G25" i="35"/>
  <c r="F25" i="35" s="1"/>
  <c r="G30" i="35"/>
  <c r="F30" i="35" s="1"/>
  <c r="J34" i="35"/>
  <c r="G32" i="35"/>
  <c r="F32" i="35" s="1"/>
  <c r="I34" i="35"/>
  <c r="C33" i="35"/>
  <c r="C15" i="35" s="1"/>
  <c r="C25" i="41"/>
  <c r="C29" i="41"/>
  <c r="G10" i="41"/>
  <c r="G43" i="41" s="1"/>
  <c r="G9" i="41" s="1"/>
  <c r="E10" i="41"/>
  <c r="E43" i="41" s="1"/>
  <c r="E9" i="41" s="1"/>
  <c r="P10" i="41"/>
  <c r="P43" i="41" s="1"/>
  <c r="P9" i="41" s="1"/>
  <c r="K10" i="41"/>
  <c r="K43" i="41" s="1"/>
  <c r="K9" i="41" s="1"/>
  <c r="H10" i="41"/>
  <c r="H43" i="41" s="1"/>
  <c r="L10" i="41"/>
  <c r="L43" i="41" s="1"/>
  <c r="L9" i="41" s="1"/>
  <c r="M10" i="41"/>
  <c r="M43" i="41" s="1"/>
  <c r="R10" i="41"/>
  <c r="R43" i="41" s="1"/>
  <c r="R9" i="41" s="1"/>
  <c r="D10" i="41"/>
  <c r="D43" i="41" s="1"/>
  <c r="I10" i="41"/>
  <c r="I43" i="41" s="1"/>
  <c r="I9" i="41" s="1"/>
  <c r="N10" i="41"/>
  <c r="N43" i="41" s="1"/>
  <c r="N9" i="41" s="1"/>
  <c r="Q10" i="41"/>
  <c r="J10" i="41"/>
  <c r="J43" i="41" s="1"/>
  <c r="J9" i="41" s="1"/>
  <c r="F10" i="41"/>
  <c r="F43" i="41" s="1"/>
  <c r="F9" i="41" s="1"/>
  <c r="C11" i="41"/>
  <c r="H13" i="70"/>
  <c r="O12" i="70"/>
  <c r="T19" i="70"/>
  <c r="G33" i="70"/>
  <c r="G32" i="70" s="1"/>
  <c r="H32" i="70"/>
  <c r="I12" i="70"/>
  <c r="T15" i="70"/>
  <c r="T16" i="70" s="1"/>
  <c r="G13" i="70"/>
  <c r="I20" i="35"/>
  <c r="G54" i="35"/>
  <c r="F22" i="35"/>
  <c r="G21" i="35"/>
  <c r="M54" i="35"/>
  <c r="F54" i="35"/>
  <c r="N33" i="35"/>
  <c r="N15" i="35" s="1"/>
  <c r="F64" i="35"/>
  <c r="F63" i="35" s="1"/>
  <c r="F62" i="35" s="1"/>
  <c r="M48" i="35"/>
  <c r="G48" i="35" s="1"/>
  <c r="G35" i="35"/>
  <c r="F35" i="35" s="1"/>
  <c r="F34" i="35" s="1"/>
  <c r="J33" i="35" l="1"/>
  <c r="J15" i="35" s="1"/>
  <c r="F21" i="35"/>
  <c r="G29" i="35"/>
  <c r="G20" i="35" s="1"/>
  <c r="G34" i="35"/>
  <c r="I33" i="35"/>
  <c r="I15" i="35" s="1"/>
  <c r="G33" i="35"/>
  <c r="F29" i="35"/>
  <c r="C10" i="41"/>
  <c r="H9" i="41"/>
  <c r="D9" i="41"/>
  <c r="Q43" i="41"/>
  <c r="Q9" i="41" s="1"/>
  <c r="M9" i="41"/>
  <c r="T17" i="70"/>
  <c r="P81" i="70" s="1"/>
  <c r="M33" i="35"/>
  <c r="M15" i="35" s="1"/>
  <c r="F33" i="35"/>
  <c r="F20" i="35" l="1"/>
  <c r="G15" i="35"/>
  <c r="C43" i="41"/>
  <c r="C9" i="41"/>
  <c r="H81" i="70"/>
  <c r="G81" i="70" s="1"/>
  <c r="G12" i="70" s="1"/>
  <c r="P12" i="70"/>
  <c r="T18" i="70"/>
  <c r="T20" i="70" s="1"/>
  <c r="T22" i="70" s="1"/>
  <c r="C86" i="68" l="1"/>
  <c r="C83" i="68" s="1"/>
  <c r="C82" i="68" s="1"/>
  <c r="O82" i="35"/>
  <c r="F82" i="35" l="1"/>
  <c r="O15" i="35"/>
  <c r="N11" i="32"/>
  <c r="C81" i="68" l="1"/>
  <c r="D81" i="68" s="1"/>
  <c r="F15" i="35"/>
  <c r="D41" i="33"/>
  <c r="C27" i="68" l="1"/>
  <c r="C26" i="68" s="1"/>
  <c r="D26" i="68" s="1"/>
  <c r="D33" i="33"/>
  <c r="C24" i="33" l="1"/>
  <c r="D13" i="33"/>
  <c r="M13" i="37"/>
  <c r="O12" i="37"/>
  <c r="H12" i="20"/>
  <c r="D12" i="20"/>
  <c r="M14" i="37" l="1"/>
  <c r="L21" i="37" l="1"/>
  <c r="G29" i="37"/>
  <c r="D31" i="33"/>
  <c r="C31" i="33" s="1"/>
  <c r="R32" i="37"/>
  <c r="D28" i="33"/>
  <c r="E20" i="37"/>
  <c r="F28" i="37"/>
  <c r="K16" i="37"/>
  <c r="I16" i="37" l="1"/>
  <c r="H17" i="37"/>
  <c r="P26" i="37"/>
  <c r="D18" i="37"/>
  <c r="P25" i="37"/>
  <c r="D27" i="33" l="1"/>
  <c r="D19" i="37"/>
  <c r="P24" i="37"/>
  <c r="P23" i="37"/>
  <c r="E25" i="33" l="1"/>
  <c r="D25" i="33" l="1"/>
  <c r="R30" i="37"/>
  <c r="R31" i="37"/>
  <c r="D13" i="69"/>
  <c r="E13" i="69" s="1"/>
  <c r="F13" i="69" s="1"/>
  <c r="G13" i="69" s="1"/>
  <c r="H13" i="69" s="1"/>
  <c r="I13" i="69" s="1"/>
  <c r="J13" i="69" s="1"/>
  <c r="K13" i="69" s="1"/>
  <c r="L13" i="69" s="1"/>
  <c r="M13" i="69" s="1"/>
  <c r="N13" i="69" s="1"/>
  <c r="O13" i="69" s="1"/>
  <c r="P13" i="69" s="1"/>
  <c r="Q13" i="69" s="1"/>
  <c r="R13" i="69" s="1"/>
  <c r="S13" i="69" s="1"/>
  <c r="T13" i="69" s="1"/>
  <c r="U13" i="69" s="1"/>
  <c r="H15" i="69"/>
  <c r="I15" i="69"/>
  <c r="J15" i="69"/>
  <c r="K15" i="69"/>
  <c r="L15" i="69"/>
  <c r="M15" i="69"/>
  <c r="N15" i="69"/>
  <c r="O15" i="69"/>
  <c r="P15" i="69"/>
  <c r="Q15" i="69"/>
  <c r="R15" i="69"/>
  <c r="S15" i="69"/>
  <c r="T15" i="69"/>
  <c r="U15" i="69"/>
  <c r="D29" i="17"/>
  <c r="C27" i="17"/>
  <c r="D25" i="17"/>
  <c r="C25" i="17"/>
  <c r="C26" i="17"/>
  <c r="C22" i="17"/>
  <c r="C31" i="17"/>
  <c r="C20" i="17"/>
  <c r="D32" i="33" l="1"/>
  <c r="D26" i="17"/>
  <c r="C29" i="17"/>
  <c r="M12" i="37" l="1"/>
  <c r="D36" i="33"/>
  <c r="D35" i="33" s="1"/>
  <c r="C37" i="33"/>
  <c r="C38" i="33"/>
  <c r="C36" i="33" l="1"/>
  <c r="C35" i="33" s="1"/>
  <c r="R33" i="37"/>
  <c r="Q33" i="37" l="1"/>
  <c r="D31" i="17" l="1"/>
  <c r="H26" i="19" l="1"/>
  <c r="F36" i="19"/>
  <c r="E36" i="19"/>
  <c r="F35" i="19"/>
  <c r="E35" i="19"/>
  <c r="D34" i="19"/>
  <c r="C34" i="19"/>
  <c r="C32" i="19" s="1"/>
  <c r="F33" i="19"/>
  <c r="E33" i="19"/>
  <c r="D29" i="19"/>
  <c r="E29" i="19" s="1"/>
  <c r="D28" i="19"/>
  <c r="F28" i="19" s="1"/>
  <c r="C27" i="19"/>
  <c r="C25" i="19" s="1"/>
  <c r="G26" i="19" s="1"/>
  <c r="D26" i="19"/>
  <c r="F26" i="19" s="1"/>
  <c r="F34" i="19" l="1"/>
  <c r="D32" i="19"/>
  <c r="E34" i="19"/>
  <c r="D27" i="19"/>
  <c r="D25" i="19" s="1"/>
  <c r="E28" i="19"/>
  <c r="F29" i="19"/>
  <c r="E26" i="19"/>
  <c r="F27" i="19" l="1"/>
  <c r="E27" i="19"/>
  <c r="C30" i="37" l="1"/>
  <c r="D27" i="37"/>
  <c r="E27" i="37"/>
  <c r="H27" i="37"/>
  <c r="I27" i="37"/>
  <c r="J27" i="37"/>
  <c r="K27" i="37"/>
  <c r="L27" i="37"/>
  <c r="M27" i="37"/>
  <c r="N27" i="37"/>
  <c r="O27" i="37"/>
  <c r="P27" i="37"/>
  <c r="Q27" i="37"/>
  <c r="R27" i="37"/>
  <c r="D22" i="37"/>
  <c r="E22" i="37"/>
  <c r="F22" i="37"/>
  <c r="G22" i="37"/>
  <c r="H22" i="37"/>
  <c r="I22" i="37"/>
  <c r="J22" i="37"/>
  <c r="K22" i="37"/>
  <c r="L22" i="37"/>
  <c r="M22" i="37"/>
  <c r="N22" i="37"/>
  <c r="O22" i="37"/>
  <c r="Q22" i="37"/>
  <c r="R22" i="37"/>
  <c r="E15" i="37"/>
  <c r="F15" i="37"/>
  <c r="G15" i="37"/>
  <c r="J15" i="37"/>
  <c r="L15" i="37"/>
  <c r="M15" i="37"/>
  <c r="N15" i="37"/>
  <c r="O15" i="37"/>
  <c r="P15" i="37"/>
  <c r="R15" i="37"/>
  <c r="D11" i="37"/>
  <c r="E11" i="37"/>
  <c r="F11" i="37"/>
  <c r="G11" i="37"/>
  <c r="H11" i="37"/>
  <c r="I11" i="37"/>
  <c r="J11" i="37"/>
  <c r="K11" i="37"/>
  <c r="L11" i="37"/>
  <c r="N11" i="37"/>
  <c r="O11" i="37"/>
  <c r="P11" i="37"/>
  <c r="Q11" i="37"/>
  <c r="R11" i="37"/>
  <c r="C32" i="37"/>
  <c r="E9" i="38"/>
  <c r="H9" i="38"/>
  <c r="I9" i="38"/>
  <c r="J9" i="38"/>
  <c r="K9" i="38"/>
  <c r="L9" i="38"/>
  <c r="O9" i="38"/>
  <c r="P9" i="38"/>
  <c r="R9" i="38"/>
  <c r="N10" i="38"/>
  <c r="M10" i="38" s="1"/>
  <c r="M9" i="38" s="1"/>
  <c r="Q10" i="38"/>
  <c r="Q9" i="38" s="1"/>
  <c r="G10" i="38"/>
  <c r="G9" i="38" s="1"/>
  <c r="N10" i="37" l="1"/>
  <c r="D33" i="37"/>
  <c r="C33" i="37" s="1"/>
  <c r="O10" i="37"/>
  <c r="N9" i="38"/>
  <c r="F10" i="38"/>
  <c r="D40" i="33" l="1"/>
  <c r="D39" i="33" s="1"/>
  <c r="D10" i="38"/>
  <c r="F9" i="38"/>
  <c r="C10" i="38" l="1"/>
  <c r="C9" i="38" s="1"/>
  <c r="D9" i="38"/>
  <c r="D33" i="21"/>
  <c r="C33" i="21" s="1"/>
  <c r="D32" i="21"/>
  <c r="C32" i="21" s="1"/>
  <c r="D31" i="21"/>
  <c r="C31" i="21" s="1"/>
  <c r="D30" i="21"/>
  <c r="C30" i="21" s="1"/>
  <c r="D29" i="21"/>
  <c r="C29" i="21" s="1"/>
  <c r="D28" i="21"/>
  <c r="C28" i="21" s="1"/>
  <c r="D27" i="21"/>
  <c r="C27" i="21" s="1"/>
  <c r="D26" i="21"/>
  <c r="C26" i="21" s="1"/>
  <c r="D25" i="21"/>
  <c r="C25" i="21" s="1"/>
  <c r="D24" i="21"/>
  <c r="C24" i="21" s="1"/>
  <c r="D23" i="21"/>
  <c r="C23" i="21" s="1"/>
  <c r="D22" i="21"/>
  <c r="C22" i="21" s="1"/>
  <c r="D21" i="21"/>
  <c r="C21" i="21" s="1"/>
  <c r="D20" i="21"/>
  <c r="C20" i="21" s="1"/>
  <c r="D19" i="21"/>
  <c r="C19" i="21" s="1"/>
  <c r="A19" i="21"/>
  <c r="A20" i="21" s="1"/>
  <c r="A21" i="21" s="1"/>
  <c r="A22" i="21" s="1"/>
  <c r="A23" i="21" s="1"/>
  <c r="A24" i="21" s="1"/>
  <c r="A25" i="21" s="1"/>
  <c r="A26" i="21" s="1"/>
  <c r="A27" i="21" s="1"/>
  <c r="A28" i="21" s="1"/>
  <c r="A29" i="21" s="1"/>
  <c r="A30" i="21" s="1"/>
  <c r="A31" i="21" s="1"/>
  <c r="A32" i="21" s="1"/>
  <c r="A33" i="21" s="1"/>
  <c r="K17" i="21"/>
  <c r="D18" i="21"/>
  <c r="I17" i="21"/>
  <c r="H17" i="21"/>
  <c r="G17" i="21"/>
  <c r="F17" i="21"/>
  <c r="E17" i="21"/>
  <c r="L27" i="20"/>
  <c r="L26" i="20"/>
  <c r="L25" i="20"/>
  <c r="L24" i="20"/>
  <c r="L23" i="20"/>
  <c r="L22" i="20"/>
  <c r="L21" i="20"/>
  <c r="L20" i="20"/>
  <c r="L19" i="20"/>
  <c r="L18" i="20"/>
  <c r="L17" i="20"/>
  <c r="L16" i="20"/>
  <c r="L15" i="20"/>
  <c r="L14" i="20"/>
  <c r="L13" i="20"/>
  <c r="L12" i="20"/>
  <c r="G27" i="20"/>
  <c r="G26" i="20"/>
  <c r="G25" i="20"/>
  <c r="G24" i="20"/>
  <c r="G23" i="20"/>
  <c r="G22" i="20"/>
  <c r="G21" i="20"/>
  <c r="G20" i="20"/>
  <c r="G19" i="20"/>
  <c r="G18" i="20"/>
  <c r="G17" i="20"/>
  <c r="G16" i="20"/>
  <c r="G15" i="20"/>
  <c r="G14" i="20"/>
  <c r="G13" i="20"/>
  <c r="G12" i="20"/>
  <c r="J11" i="20"/>
  <c r="I11" i="20"/>
  <c r="H11" i="20"/>
  <c r="F11" i="20"/>
  <c r="E11" i="20"/>
  <c r="D11" i="20"/>
  <c r="C27" i="20"/>
  <c r="C26" i="20"/>
  <c r="C25" i="20"/>
  <c r="C24" i="20"/>
  <c r="C23" i="20"/>
  <c r="C22" i="20"/>
  <c r="C21" i="20"/>
  <c r="C20" i="20"/>
  <c r="C19" i="20"/>
  <c r="C18" i="20"/>
  <c r="C17" i="20"/>
  <c r="C16" i="20"/>
  <c r="C15" i="20"/>
  <c r="C14" i="20"/>
  <c r="C13" i="20"/>
  <c r="C12" i="20"/>
  <c r="L11" i="20" l="1"/>
  <c r="K12" i="20"/>
  <c r="K25" i="20"/>
  <c r="K24" i="20"/>
  <c r="K21" i="20"/>
  <c r="K20" i="20"/>
  <c r="K17" i="20"/>
  <c r="K16" i="20"/>
  <c r="K13" i="20"/>
  <c r="R10" i="37"/>
  <c r="E32" i="33"/>
  <c r="C11" i="20"/>
  <c r="K14" i="20"/>
  <c r="K18" i="20"/>
  <c r="K22" i="20"/>
  <c r="K26" i="20"/>
  <c r="D17" i="21"/>
  <c r="K15" i="20"/>
  <c r="K19" i="20"/>
  <c r="K23" i="20"/>
  <c r="K27" i="20"/>
  <c r="J17" i="21"/>
  <c r="G11" i="20"/>
  <c r="C18" i="21"/>
  <c r="C17" i="21" s="1"/>
  <c r="C28" i="33"/>
  <c r="C26" i="33"/>
  <c r="C13" i="37"/>
  <c r="F29" i="17"/>
  <c r="D28" i="17"/>
  <c r="C28" i="17"/>
  <c r="E25" i="17"/>
  <c r="E24" i="17"/>
  <c r="F23" i="17"/>
  <c r="E23" i="17"/>
  <c r="E21" i="17"/>
  <c r="E18" i="17"/>
  <c r="F11" i="17"/>
  <c r="E11" i="17"/>
  <c r="D10" i="17"/>
  <c r="C10" i="17"/>
  <c r="E10" i="17" l="1"/>
  <c r="K11" i="20"/>
  <c r="C9" i="17"/>
  <c r="C8" i="17" s="1"/>
  <c r="E29" i="17"/>
  <c r="F10" i="17"/>
  <c r="F26" i="17"/>
  <c r="F28" i="17"/>
  <c r="E26" i="17"/>
  <c r="E31" i="17"/>
  <c r="K15" i="37"/>
  <c r="K10" i="37" s="1"/>
  <c r="F31" i="17"/>
  <c r="E28" i="17" l="1"/>
  <c r="Q15" i="37"/>
  <c r="Q10" i="37" s="1"/>
  <c r="I15" i="37"/>
  <c r="I10" i="37" s="1"/>
  <c r="C16" i="37"/>
  <c r="C12" i="37"/>
  <c r="C20" i="37"/>
  <c r="E10" i="37"/>
  <c r="C21" i="37"/>
  <c r="L10" i="37"/>
  <c r="C19" i="37"/>
  <c r="C26" i="37"/>
  <c r="C33" i="33" l="1"/>
  <c r="E11" i="33"/>
  <c r="C24" i="37"/>
  <c r="C29" i="37"/>
  <c r="G27" i="37"/>
  <c r="G10" i="37" s="1"/>
  <c r="C25" i="37"/>
  <c r="F27" i="37"/>
  <c r="F10" i="37" s="1"/>
  <c r="C28" i="37"/>
  <c r="C17" i="37"/>
  <c r="H15" i="37"/>
  <c r="H10" i="37" s="1"/>
  <c r="C40" i="33"/>
  <c r="E39" i="33"/>
  <c r="E34" i="33" s="1"/>
  <c r="C42" i="33"/>
  <c r="C41" i="33"/>
  <c r="D12" i="33"/>
  <c r="D11" i="33" s="1"/>
  <c r="C13" i="33"/>
  <c r="C12" i="33" s="1"/>
  <c r="H10" i="32"/>
  <c r="K10" i="32"/>
  <c r="J29" i="32"/>
  <c r="D29" i="32" s="1"/>
  <c r="J28" i="32"/>
  <c r="D28" i="32" s="1"/>
  <c r="J27" i="32"/>
  <c r="D27" i="32" s="1"/>
  <c r="J26" i="32"/>
  <c r="D26" i="32" s="1"/>
  <c r="J25" i="32"/>
  <c r="D25" i="32" s="1"/>
  <c r="J24" i="32"/>
  <c r="D24" i="32" s="1"/>
  <c r="J23" i="32"/>
  <c r="D23" i="32" s="1"/>
  <c r="J22" i="32"/>
  <c r="D22" i="32" s="1"/>
  <c r="J21" i="32"/>
  <c r="D21" i="32" s="1"/>
  <c r="J20" i="32"/>
  <c r="D20" i="32" s="1"/>
  <c r="J19" i="32"/>
  <c r="D19" i="32" s="1"/>
  <c r="J18" i="32"/>
  <c r="D18" i="32" s="1"/>
  <c r="J17" i="32"/>
  <c r="D17" i="32" s="1"/>
  <c r="J16" i="32"/>
  <c r="D16" i="32" s="1"/>
  <c r="J15" i="32"/>
  <c r="D15" i="32" s="1"/>
  <c r="J14" i="32"/>
  <c r="D14" i="32" s="1"/>
  <c r="J13" i="32"/>
  <c r="D13" i="32" s="1"/>
  <c r="J12" i="32"/>
  <c r="D12" i="32" s="1"/>
  <c r="J11" i="32"/>
  <c r="D11" i="32" s="1"/>
  <c r="N10" i="32"/>
  <c r="M10" i="32"/>
  <c r="L10" i="32"/>
  <c r="I10" i="32"/>
  <c r="G10" i="32"/>
  <c r="F10" i="32"/>
  <c r="E10" i="32"/>
  <c r="G33" i="9"/>
  <c r="G31" i="9" s="1"/>
  <c r="F33" i="9"/>
  <c r="F31" i="9" s="1"/>
  <c r="E33" i="9"/>
  <c r="E31" i="9" s="1"/>
  <c r="D33" i="9"/>
  <c r="D31" i="9" s="1"/>
  <c r="C33" i="9"/>
  <c r="C31" i="9" s="1"/>
  <c r="C26" i="9"/>
  <c r="C24" i="9" s="1"/>
  <c r="G26" i="9"/>
  <c r="G24" i="9" s="1"/>
  <c r="F26" i="9"/>
  <c r="F24" i="9" s="1"/>
  <c r="E26" i="9"/>
  <c r="E24" i="9" s="1"/>
  <c r="D26" i="9"/>
  <c r="D24" i="9" s="1"/>
  <c r="G18" i="9"/>
  <c r="G16" i="9" s="1"/>
  <c r="F18" i="9"/>
  <c r="F16" i="9" s="1"/>
  <c r="E18" i="9"/>
  <c r="E16" i="9" s="1"/>
  <c r="D18" i="9"/>
  <c r="D16" i="9" s="1"/>
  <c r="C18" i="9"/>
  <c r="C16" i="9" s="1"/>
  <c r="D10" i="9"/>
  <c r="D8" i="9" s="1"/>
  <c r="E10" i="9"/>
  <c r="E8" i="9" s="1"/>
  <c r="F10" i="9"/>
  <c r="F8" i="9" s="1"/>
  <c r="G10" i="9"/>
  <c r="G8" i="9" s="1"/>
  <c r="C10" i="9"/>
  <c r="C8" i="9" s="1"/>
  <c r="D10" i="7"/>
  <c r="D7" i="7" s="1"/>
  <c r="E10" i="7"/>
  <c r="E7" i="7" s="1"/>
  <c r="F10" i="7"/>
  <c r="F7" i="7" s="1"/>
  <c r="G10" i="7"/>
  <c r="G7" i="7" s="1"/>
  <c r="C10" i="7"/>
  <c r="C7" i="7" s="1"/>
  <c r="D17" i="6"/>
  <c r="E17" i="6"/>
  <c r="F17" i="6"/>
  <c r="G17" i="6"/>
  <c r="H17" i="6"/>
  <c r="I17" i="6"/>
  <c r="C17" i="6"/>
  <c r="D24" i="6"/>
  <c r="E24" i="6"/>
  <c r="F24" i="6"/>
  <c r="G24" i="6"/>
  <c r="H24" i="6"/>
  <c r="I24" i="6"/>
  <c r="C24" i="6"/>
  <c r="I35" i="6"/>
  <c r="H35" i="6"/>
  <c r="G35" i="6"/>
  <c r="F35" i="6"/>
  <c r="E35" i="6"/>
  <c r="D35" i="6"/>
  <c r="C35" i="6"/>
  <c r="D32" i="6"/>
  <c r="E32" i="6"/>
  <c r="F32" i="6"/>
  <c r="G32" i="6"/>
  <c r="G29" i="6" s="1"/>
  <c r="H32" i="6"/>
  <c r="H29" i="6" s="1"/>
  <c r="I32" i="6"/>
  <c r="I29" i="6" s="1"/>
  <c r="C32" i="6"/>
  <c r="D10" i="6"/>
  <c r="D8" i="6" s="1"/>
  <c r="E10" i="6"/>
  <c r="E8" i="6" s="1"/>
  <c r="F10" i="6"/>
  <c r="F8" i="6" s="1"/>
  <c r="G10" i="6"/>
  <c r="G8" i="6" s="1"/>
  <c r="H10" i="6"/>
  <c r="H8" i="6" s="1"/>
  <c r="I10" i="6"/>
  <c r="I8" i="6" s="1"/>
  <c r="C10" i="6"/>
  <c r="C8" i="6" s="1"/>
  <c r="E29" i="6" l="1"/>
  <c r="F22" i="9"/>
  <c r="D29" i="6"/>
  <c r="F29" i="6"/>
  <c r="C16" i="6"/>
  <c r="F16" i="6"/>
  <c r="C22" i="9"/>
  <c r="C27" i="37"/>
  <c r="G16" i="6"/>
  <c r="D34" i="33"/>
  <c r="C28" i="32"/>
  <c r="C26" i="32"/>
  <c r="C16" i="32"/>
  <c r="C15" i="32"/>
  <c r="P22" i="37"/>
  <c r="P10" i="37" s="1"/>
  <c r="D27" i="17"/>
  <c r="C39" i="33"/>
  <c r="C34" i="33" s="1"/>
  <c r="C29" i="32"/>
  <c r="C27" i="32"/>
  <c r="C25" i="32"/>
  <c r="C24" i="32"/>
  <c r="C22" i="32"/>
  <c r="C21" i="32"/>
  <c r="C20" i="32"/>
  <c r="C19" i="32"/>
  <c r="C18" i="32"/>
  <c r="C17" i="32"/>
  <c r="C29" i="6"/>
  <c r="I16" i="6"/>
  <c r="E16" i="6"/>
  <c r="H16" i="6"/>
  <c r="D16" i="6"/>
  <c r="G22" i="9"/>
  <c r="C14" i="37"/>
  <c r="C11" i="37" s="1"/>
  <c r="M11" i="37"/>
  <c r="M10" i="37" s="1"/>
  <c r="C23" i="37"/>
  <c r="C22" i="37" s="1"/>
  <c r="E22" i="9"/>
  <c r="D22" i="9"/>
  <c r="C11" i="32"/>
  <c r="C23" i="32"/>
  <c r="E10" i="33"/>
  <c r="C13" i="32"/>
  <c r="C12" i="32"/>
  <c r="C14" i="32"/>
  <c r="J10" i="32"/>
  <c r="F27" i="17" l="1"/>
  <c r="E27" i="17"/>
  <c r="D10" i="32"/>
  <c r="C10" i="32" s="1"/>
  <c r="C31" i="37" l="1"/>
  <c r="J10" i="37"/>
  <c r="C32" i="33"/>
  <c r="C27" i="33"/>
  <c r="D22" i="17" l="1"/>
  <c r="C18" i="37"/>
  <c r="C15" i="37" s="1"/>
  <c r="C10" i="37" s="1"/>
  <c r="D15" i="37"/>
  <c r="D10" i="37" s="1"/>
  <c r="E22" i="17" l="1"/>
  <c r="F22" i="17"/>
  <c r="C25" i="33" l="1"/>
  <c r="C11" i="33" s="1"/>
  <c r="C10" i="33" s="1"/>
  <c r="H9" i="33" s="1"/>
  <c r="D10" i="33"/>
  <c r="D20" i="17"/>
  <c r="G10" i="33" l="1"/>
  <c r="E20" i="17"/>
  <c r="E9" i="17" s="1"/>
  <c r="E8" i="17" s="1"/>
  <c r="F20" i="17"/>
  <c r="D9" i="17"/>
  <c r="D8" i="17" l="1"/>
  <c r="F8" i="17" s="1"/>
  <c r="F9" i="17"/>
</calcChain>
</file>

<file path=xl/comments1.xml><?xml version="1.0" encoding="utf-8"?>
<comments xmlns="http://schemas.openxmlformats.org/spreadsheetml/2006/main">
  <authors>
    <author>DELL</author>
  </authors>
  <commentList>
    <comment ref="O18" authorId="0">
      <text>
        <r>
          <rPr>
            <b/>
            <sz val="9"/>
            <color indexed="81"/>
            <rFont val="Tahoma"/>
            <family val="2"/>
          </rPr>
          <t>DELL:</t>
        </r>
        <r>
          <rPr>
            <sz val="9"/>
            <color indexed="81"/>
            <rFont val="Tahoma"/>
            <family val="2"/>
          </rPr>
          <t xml:space="preserve">
Chưa phân bổ</t>
        </r>
      </text>
    </comment>
    <comment ref="O30" authorId="0">
      <text>
        <r>
          <rPr>
            <b/>
            <sz val="9"/>
            <color indexed="81"/>
            <rFont val="Tahoma"/>
            <family val="2"/>
          </rPr>
          <t>DELL:</t>
        </r>
        <r>
          <rPr>
            <sz val="9"/>
            <color indexed="81"/>
            <rFont val="Tahoma"/>
            <family val="2"/>
          </rPr>
          <t xml:space="preserve">
KP đào tạo </t>
        </r>
      </text>
    </comment>
    <comment ref="O31" authorId="0">
      <text>
        <r>
          <rPr>
            <b/>
            <sz val="9"/>
            <color indexed="81"/>
            <rFont val="Tahoma"/>
            <family val="2"/>
          </rPr>
          <t>DELL:</t>
        </r>
        <r>
          <rPr>
            <sz val="9"/>
            <color indexed="81"/>
            <rFont val="Tahoma"/>
            <family val="2"/>
          </rPr>
          <t xml:space="preserve">
KP đào tạo </t>
        </r>
      </text>
    </comment>
    <comment ref="L58" authorId="0">
      <text>
        <r>
          <rPr>
            <b/>
            <sz val="9"/>
            <color indexed="81"/>
            <rFont val="Tahoma"/>
            <family val="2"/>
          </rPr>
          <t>DELL:</t>
        </r>
        <r>
          <rPr>
            <sz val="9"/>
            <color indexed="81"/>
            <rFont val="Tahoma"/>
            <family val="2"/>
          </rPr>
          <t xml:space="preserve">
Chi bo ghép: LĐLĐ - CTĐ</t>
        </r>
      </text>
    </comment>
  </commentList>
</comments>
</file>

<file path=xl/sharedStrings.xml><?xml version="1.0" encoding="utf-8"?>
<sst xmlns="http://schemas.openxmlformats.org/spreadsheetml/2006/main" count="3822" uniqueCount="1562">
  <si>
    <t>Biểu mẫu số 01</t>
  </si>
  <si>
    <t>DỰ BÁO MỘT SỐ CHỈ TIÊU KINH TẾ - XÃ HỘI CHỦ YẾU GIAI ĐOẠN...</t>
  </si>
  <si>
    <t>(Dùng cho ngân sách tỉnh, thành phố trực thuộc trung ương - năm đầu thời kỳ ổn định ngân sách)</t>
  </si>
  <si>
    <t>STT</t>
  </si>
  <si>
    <t>Nội dung</t>
  </si>
  <si>
    <t>Đơn vị tính</t>
  </si>
  <si>
    <t>Mục tiêu giai đoạn trước</t>
  </si>
  <si>
    <t>Thực hiện giai đoạn trước</t>
  </si>
  <si>
    <t>Kế hoạch giai đoạn...</t>
  </si>
  <si>
    <t>Tổng giai đoạn</t>
  </si>
  <si>
    <t>Năm thứnhất</t>
  </si>
  <si>
    <t>Năm thứ hai</t>
  </si>
  <si>
    <t>Năm thứ ba</t>
  </si>
  <si>
    <t>Năm thứ tư</t>
  </si>
  <si>
    <t>Năm thứ năm</t>
  </si>
  <si>
    <t>A</t>
  </si>
  <si>
    <t>B</t>
  </si>
  <si>
    <t>Tổng sản phẩm trong nước (GRDP) theo giá hiện hành</t>
  </si>
  <si>
    <t>Triệu đồng</t>
  </si>
  <si>
    <t>Tốc độ tăng trưởng GRDP</t>
  </si>
  <si>
    <t>%</t>
  </si>
  <si>
    <t>Cơ cấu kinh tế</t>
  </si>
  <si>
    <t>-</t>
  </si>
  <si>
    <t>Nông, lâm, ngư nghiệp</t>
  </si>
  <si>
    <t>Công nghiệp, xây dựng</t>
  </si>
  <si>
    <t>Dịch vụ</t>
  </si>
  <si>
    <t>Chỉ số giá tiêu dùng (CPI)</t>
  </si>
  <si>
    <t>Tổng vốn đầu tư phát triển toàn xã hội trên địa bàn</t>
  </si>
  <si>
    <t>Tỷ lệ so với GRDP</t>
  </si>
  <si>
    <t>Vốn ngân sách nhà nước</t>
  </si>
  <si>
    <t>Triệu đồng</t>
  </si>
  <si>
    <t>Vốn tín dụng</t>
  </si>
  <si>
    <t>Vốn doanh nghiệp và dân cư</t>
  </si>
  <si>
    <t>Vốn đầu tư trực tiếp nước ngoài</t>
  </si>
  <si>
    <t>Kim ngạch xuất khẩu</t>
  </si>
  <si>
    <t>Triệu USD</t>
  </si>
  <si>
    <t>Tốc độ tăng</t>
  </si>
  <si>
    <t>Kim ngạch nhập khẩu</t>
  </si>
  <si>
    <t>Triệu USD</t>
  </si>
  <si>
    <t>Dân số</t>
  </si>
  <si>
    <t>1.000 người</t>
  </si>
  <si>
    <t>Thu nhập bình quân đầu người</t>
  </si>
  <si>
    <t>Giải quyết việc làm mới</t>
  </si>
  <si>
    <t>1.000 laođộng</t>
  </si>
  <si>
    <t>Tỷ lệ lao động qua đào tạo</t>
  </si>
  <si>
    <t>Tỷ lệ hộ nghèo</t>
  </si>
  <si>
    <t>Tỷ lệ giảm hộ nghèo</t>
  </si>
  <si>
    <t>%/năm</t>
  </si>
  <si>
    <t>Tỷ lệ xã đạt tiêu chuẩn nông thôn mới</t>
  </si>
  <si>
    <t>Số xã đạt tiêu chuẩn nông thôn mới (lũy kế)</t>
  </si>
  <si>
    <t>xã</t>
  </si>
  <si>
    <t>………….</t>
  </si>
  <si>
    <t>Ghi chú: Cột 9 không chi tiết từng năm.</t>
  </si>
  <si>
    <t>Biểu mẫu số 02</t>
  </si>
  <si>
    <t>KẾ HOẠCH TÀI CHÍNH - NGÂN SÁCH GIAI ĐOẠN 05 NĂM...</t>
  </si>
  <si>
    <t>(Dùng cho ngân sách tỉnh, thành phố trực thuộc trung ương)</t>
  </si>
  <si>
    <t>Đơn vị: Triệu đồng</t>
  </si>
  <si>
    <t>Kế hoạch giai đoạn trước</t>
  </si>
  <si>
    <t>Năm thứ nhất</t>
  </si>
  <si>
    <t>Năm thứhai</t>
  </si>
  <si>
    <t>Năm thứ ba</t>
  </si>
  <si>
    <t>TỔNG SẢN PHẨM TRONG NƯỚC (CRDP) THEO GIÁ HIỆN HÀNH</t>
  </si>
  <si>
    <t>TỔNG THU NSNN TRÊN ĐỊA BÀN</t>
  </si>
  <si>
    <t>Tỷ lệ thu NSNN so với GRDP (%)</t>
  </si>
  <si>
    <t>Tỷ lệ thu từ thuế, phí so với GRDP (%)</t>
  </si>
  <si>
    <t>Thu nội địa</t>
  </si>
  <si>
    <t>Tốc độ tăng thu (%)</t>
  </si>
  <si>
    <t>Tỷ trọng trong tổng thu NSNN trên địa bàn (%)</t>
  </si>
  <si>
    <t>Trong đó: Thu tiền sử dụng đất</t>
  </si>
  <si>
    <t>                Thu xổ số kiến thiết</t>
  </si>
  <si>
    <t>II</t>
  </si>
  <si>
    <t>Thu từ dầu thô (nếu có)</t>
  </si>
  <si>
    <t>Tốc độ tăng thu (%)</t>
  </si>
  <si>
    <t>III</t>
  </si>
  <si>
    <t>Thu từ hoạt động xuất, nhập khẩu (nếu có)</t>
  </si>
  <si>
    <t>Tốc độ tăng thu (%)</t>
  </si>
  <si>
    <t>Tỷ trọng trong tổng thu NSNN trên địa bàn (%)</t>
  </si>
  <si>
    <t>IV</t>
  </si>
  <si>
    <t>Thu viện trợ (nếu có)</t>
  </si>
  <si>
    <t>C</t>
  </si>
  <si>
    <t>TỔNG THU NSĐP</t>
  </si>
  <si>
    <t>Tốc độ tăng thu NSĐP (%)</t>
  </si>
  <si>
    <t>Tỷ lệ thu NSĐP so với GRDP (%)</t>
  </si>
  <si>
    <t>I</t>
  </si>
  <si>
    <t>Thu NSĐP được hưởng theo phân cấp</t>
  </si>
  <si>
    <t>Tốc độ tăng (%)</t>
  </si>
  <si>
    <t>Tỷ trọng trong tổng thu NSĐP (%)</t>
  </si>
  <si>
    <t>Thu bổ sung cân đối ngân sách</t>
  </si>
  <si>
    <t>Thu bổ sung có mục tiêu</t>
  </si>
  <si>
    <t>D</t>
  </si>
  <si>
    <t>TỔNG CHI NSĐP</t>
  </si>
  <si>
    <t>Tốc độ tăng thu NSĐP (%)</t>
  </si>
  <si>
    <t>Tỷ lệ chi NSĐP so với GRDP (%)</t>
  </si>
  <si>
    <t>Chi đầu tư phát triển (1)</t>
  </si>
  <si>
    <t>Tốc độ tăng (%)</t>
  </si>
  <si>
    <t>Tỷ trọng trong tổng chi NSĐP (%)</t>
  </si>
  <si>
    <t>Chi thường xuyên</t>
  </si>
  <si>
    <t>Chi trả nợ lãi các khoản do chính quyền địa phương vay</t>
  </si>
  <si>
    <t>Chi tạo nguồn, điều chỉnh tiền lương</t>
  </si>
  <si>
    <t>E</t>
  </si>
  <si>
    <t>BỘI CHI/BỘI THU NSĐP</t>
  </si>
  <si>
    <t>G</t>
  </si>
  <si>
    <t>TỔNG MỨC VAY, TRẢ NỢ CỦA NSĐP</t>
  </si>
  <si>
    <t>Hạn mức dư nợ vay tối đa của NSĐP</t>
  </si>
  <si>
    <t>Mức dư nợ đầu kỳ (năm)</t>
  </si>
  <si>
    <t>Tỷ lệ mức dư nợ đầu kỳ (năm) so với mức dư nợ vay tối đa của NSĐP (%)</t>
  </si>
  <si>
    <t>Tỷ lệ mức dư nợ đầu kỳ (năm) so với GRDP (%)</t>
  </si>
  <si>
    <t>Trả nợ gốc vay trong kỳ (năm)</t>
  </si>
  <si>
    <t>Từ nguồn vay để trả nợ gốc</t>
  </si>
  <si>
    <t>Từ nguồn bội thu NSĐP; tăng thu, tiết kiệm chi; kết dư ngân sách cấp tỉnh</t>
  </si>
  <si>
    <t>Tổng mức vay trong kỳ (năm)</t>
  </si>
  <si>
    <t>Vay để bù đắp bội chi</t>
  </si>
  <si>
    <t>Vay để trả nợ gốc</t>
  </si>
  <si>
    <t>V</t>
  </si>
  <si>
    <t>Mức dư nợ cuối kỳ (năm)</t>
  </si>
  <si>
    <t>Tỷ lệ mức dư nợ cuối kỳ (năm) so với mức dư nợ vay tối đa của NSĐP (%)</t>
  </si>
  <si>
    <t>Tỷ lệ mức dư nợ cuối kỳ (năm) so với GRDP (%)</t>
  </si>
  <si>
    <t>(2) Cột 8 không chi tiết từng năm.</t>
  </si>
  <si>
    <t>Ghi chú: </t>
  </si>
  <si>
    <t>(1)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</si>
  <si>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r>
      <t>Kế hoạch giai đoạn</t>
    </r>
    <r>
      <rPr>
        <sz val="11"/>
        <rFont val="Times New Roman"/>
        <family val="1"/>
      </rPr>
      <t> </t>
    </r>
    <r>
      <rPr>
        <b/>
        <sz val="11"/>
        <rFont val="Times New Roman"/>
        <family val="1"/>
      </rPr>
      <t>.... (2)</t>
    </r>
  </si>
  <si>
    <r>
      <t>Tốc độ tăng</t>
    </r>
    <r>
      <rPr>
        <sz val="11"/>
        <rFont val="Times New Roman"/>
        <family val="1"/>
      </rPr>
      <t> </t>
    </r>
    <r>
      <rPr>
        <i/>
        <sz val="11"/>
        <rFont val="Times New Roman"/>
        <family val="1"/>
      </rPr>
      <t>thu NSNN trên địa bàn (%)</t>
    </r>
  </si>
  <si>
    <r>
      <t>Tỷ</t>
    </r>
    <r>
      <rPr>
        <sz val="11"/>
        <rFont val="Times New Roman"/>
        <family val="1"/>
      </rPr>
      <t> </t>
    </r>
    <r>
      <rPr>
        <i/>
        <sz val="11"/>
        <rFont val="Times New Roman"/>
        <family val="1"/>
      </rPr>
      <t>trọng trong tổng thu NSNN trên địa bàn (%)</t>
    </r>
  </si>
  <si>
    <r>
      <t>Thu bổ</t>
    </r>
    <r>
      <rPr>
        <sz val="11"/>
        <rFont val="Times New Roman"/>
        <family val="1"/>
      </rPr>
      <t> </t>
    </r>
    <r>
      <rPr>
        <b/>
        <sz val="11"/>
        <rFont val="Times New Roman"/>
        <family val="1"/>
      </rPr>
      <t>sung từ ngân sách cấp trên</t>
    </r>
  </si>
  <si>
    <t>Biểu mẫu số 03</t>
  </si>
  <si>
    <t>DỰ KIẾN PHƯƠNG ÁN PHÂN BỔ KẾ HOẠCH ĐẦU TƯ CÔNG TRUNG HẠN VỐN NSNN GIAI ĐOẠN 05 NĂM...</t>
  </si>
  <si>
    <t>(Dùng cho ngân sách các cấp chính quyền địa phương)</t>
  </si>
  <si>
    <t>Nhu cầu kế hoạch đầu tư công trung hạn vốn NSNN giai đoạn 05 năm…(2)</t>
  </si>
  <si>
    <t>Dự kiến kế hoạch đầu tư công trung hạn vốn NSNN giai đoạn 05 năm ….(2)</t>
  </si>
  <si>
    <t>Ghi chú</t>
  </si>
  <si>
    <t>Tổng số</t>
  </si>
  <si>
    <t>Ngân sách cấp tỉnh (huyện)</t>
  </si>
  <si>
    <t>Ngân sách huyện (xã)</t>
  </si>
  <si>
    <t>TỔNG SỐ</t>
  </si>
  <si>
    <t>Trong đó:</t>
  </si>
  <si>
    <t>Vốn trong nước</t>
  </si>
  <si>
    <t>Vốn nước ngoài</t>
  </si>
  <si>
    <t>CHI ĐẦU TƯ PHÁT TRIỂN</t>
  </si>
  <si>
    <t>Đầu tư từ nguồn thu sử dụng đất</t>
  </si>
  <si>
    <t>Đầu tư từ nguồn thu xổ số kiến thiết</t>
  </si>
  <si>
    <t>Vốn cân đối địa phương theo tiêu chí, định mức</t>
  </si>
  <si>
    <t>Bội chi/ bội thu NSĐP (1)</t>
  </si>
  <si>
    <t>CHI ĐẦU TƯ CÁC CHƯƠNG TRÌNH MỤC TIÊU</t>
  </si>
  <si>
    <t>Các chương trình mục tiêu quốc gia</t>
  </si>
  <si>
    <t>a</t>
  </si>
  <si>
    <t>Chương trình mục tiêu quốc gia...</t>
  </si>
  <si>
    <t>b</t>
  </si>
  <si>
    <t>Chương trình mục tiêu quốc gia …</t>
  </si>
  <si>
    <t>Phân loại như trên</t>
  </si>
  <si>
    <t>...</t>
  </si>
  <si>
    <t>…</t>
  </si>
  <si>
    <t>Các chương trình mục tiêu</t>
  </si>
  <si>
    <t>Chương trình mục tiêu …</t>
  </si>
  <si>
    <t>Chương trình mục tiêu...</t>
  </si>
  <si>
    <t>Phân loại như trên</t>
  </si>
  <si>
    <t>DỰ PHÒNG THEO LUẬT ĐẦU TƯ CÔNG</t>
  </si>
  <si>
    <t>Vốn trong nước</t>
  </si>
  <si>
    <t>Ghi chú: (1) Theo quy định tại Điều 7 Luật NSNN, ngân sách huyện, xã không có bội chi ngân sách địa phương;</t>
  </si>
  <si>
    <t>(2) Ngân sách cấp xã không phải lập chỉ tiêu cột 2, 3, 5, 6.</t>
  </si>
  <si>
    <t>Biểu mẫu số 04</t>
  </si>
  <si>
    <t>TỔNG HỢP DỰ KIẾN KẾ HOẠCH ĐẦU TƯ CÔNG TRUNG HẠN VỐN NSNN CỦA CÁC CƠ QUAN, ĐƠN VỊ VÀ ĐỊA PHƯƠNG GIAI ĐOẠN 05 NĂM...</t>
  </si>
  <si>
    <t>Tên đơn vị</t>
  </si>
  <si>
    <t>Trong đó</t>
  </si>
  <si>
    <t>Đầu tư theo ngành, lĩnh vực của các cơ quan, đơn vị và cân đối NSĐP</t>
  </si>
  <si>
    <t>Chương trình mục tiêu quốc gia</t>
  </si>
  <si>
    <t>Chương trình mục tiêu</t>
  </si>
  <si>
    <t>Cơ quan A</t>
  </si>
  <si>
    <t>Tổ chức B</t>
  </si>
  <si>
    <t>......</t>
  </si>
  <si>
    <t>Huyện A</t>
  </si>
  <si>
    <t>Quận B</t>
  </si>
  <si>
    <t>Thành phố C</t>
  </si>
  <si>
    <t>Thị xã D</t>
  </si>
  <si>
    <t>…….</t>
  </si>
  <si>
    <t>Xã A</t>
  </si>
  <si>
    <t>Phường B</t>
  </si>
  <si>
    <t>Thị trấn C</t>
  </si>
  <si>
    <t>…………</t>
  </si>
  <si>
    <t>Biểu mẫu số 05</t>
  </si>
  <si>
    <t>DANH MỤC CHƯƠNG TRÌNH, DỰ ÁN DỰ KIẾN BỐ TRÍ KẾ HOẠCH ĐẦU TƯ CÔNG TRUNG HẠN VỐN TRONG NƯỚC GIAI ĐOẠN 05 NĂM...</t>
  </si>
  <si>
    <t>Danh mục dự án</t>
  </si>
  <si>
    <t>Địa điểm xây dựng</t>
  </si>
  <si>
    <t>Năng lực thiết kế</t>
  </si>
  <si>
    <t>Thời gian khởi công - hoàn thành</t>
  </si>
  <si>
    <t>Quyết định đầu tư</t>
  </si>
  <si>
    <t>Nhu cầu kế hoạch đầu tư công trung hạn vốn trong nước</t>
  </si>
  <si>
    <t>Dự kiến kế hoạch đầu tư công trung hạn vốn trong nước</t>
  </si>
  <si>
    <t>Số Quyết định, ngày, tháng, năm ban hành</t>
  </si>
  <si>
    <t>Tổng mức đầu tư</t>
  </si>
  <si>
    <t>Tổng số (tất cả các nguồn vốn)</t>
  </si>
  <si>
    <t>Trong đó: NSTW</t>
  </si>
  <si>
    <t>NGÀNH, LĨNH VỰC, CHƯƠNG TRÌNH….</t>
  </si>
  <si>
    <t>CƠ QUAN, ĐƠN VỊ, HUYỆN (XÃ) ….</t>
  </si>
  <si>
    <t>Chuẩn bị đầu tư</t>
  </si>
  <si>
    <t>Dự án A</t>
  </si>
  <si>
    <t>Thực hiện dự án</t>
  </si>
  <si>
    <t>Dự án chuyển tiếp từ giai đoạn 5 năm … sang giai đoạn 5 năm …</t>
  </si>
  <si>
    <t>Dự án B</t>
  </si>
  <si>
    <t>…………..</t>
  </si>
  <si>
    <t>Dự án khởi công mới trong giai đoạn 5 năm ….</t>
  </si>
  <si>
    <t>Dự án C</t>
  </si>
  <si>
    <t>…..</t>
  </si>
  <si>
    <t>Phân loại như trên</t>
  </si>
  <si>
    <t>NGÀNH, LĨNH VỰC, CHƯƠNG TRÌNH…</t>
  </si>
  <si>
    <t>Phân loại như mục A nêu trên</t>
  </si>
  <si>
    <t>……….</t>
  </si>
  <si>
    <t>Biểu mẫu số 06</t>
  </si>
  <si>
    <t>DANH MỤC CHƯƠNG TRÌNH, DỰ ÁN DỰ KIẾN BỐ TRÍ KẾ HOẠCH ĐẦU TƯ CÔNG TRUNG HẠN VỐN NƯỚC NGOÀI (VỐN ODA VÀ VỐN VAY ƯU ĐÃI CỦA CÁC NHÀ TÀI TRỢ NƯỚC NGOÀI) GIAI ĐOẠN 05 NĂM...</t>
  </si>
  <si>
    <t>Nhu cầu kế hoạch đầu tư công trung hạn</t>
  </si>
  <si>
    <t>Dự kiến kế hoạch đầu tư công trung hạn</t>
  </si>
  <si>
    <t>Số Quyết định, ngày tháng, năm ban hành</t>
  </si>
  <si>
    <t>Vốn đối ứng</t>
  </si>
  <si>
    <t>Vốn nước ngoài (tính theo đồng Việt Nam)</t>
  </si>
  <si>
    <t>Vốn nước ngoài (theo Hiệp định)</t>
  </si>
  <si>
    <t>Trong đó: Ngân sách trung ương</t>
  </si>
  <si>
    <t>Tính bằng ngoại tệ</t>
  </si>
  <si>
    <t>Quy đổi ra đồng Việt Nam</t>
  </si>
  <si>
    <t>Ngân sách trung ương</t>
  </si>
  <si>
    <t>Nguồn vốn khác</t>
  </si>
  <si>
    <t>NGÀNH, LĨNH VỰC, CHƯƠNG TRÌNH…..</t>
  </si>
  <si>
    <t>CƠ QUAN, ĐƠN VỊ, HUYỆN (XÃ)….</t>
  </si>
  <si>
    <t> Dự án A</t>
  </si>
  <si>
    <t>Dự án chuyển tiếp từ giai đoạn 5 năm … sang giai đoạn 5 năm ….</t>
  </si>
  <si>
    <t>…………….</t>
  </si>
  <si>
    <t>Biểu mẫu số 07</t>
  </si>
  <si>
    <t>DỰ KIẾN CÂN ĐỐI NGÂN SÁCH ĐỊA PHƯƠNG GIAI ĐOẠN 03 NĂM...</t>
  </si>
  <si>
    <t>(Dùng cho ngân sách tỉnh, thành phố trực thuộc trung ương)</t>
  </si>
  <si>
    <t>Dự toán năm N-1</t>
  </si>
  <si>
    <t>Ước thực hiện năm N-1</t>
  </si>
  <si>
    <t>So sánh</t>
  </si>
  <si>
    <t>Dự toán ngân sách năm N (2)</t>
  </si>
  <si>
    <t>Dự kiến ngân sách năm N+1</t>
  </si>
  <si>
    <t>Dự kiến ngân sách năm N+2</t>
  </si>
  <si>
    <t>Tuyệt đối</t>
  </si>
  <si>
    <t>Tương đối</t>
  </si>
  <si>
    <t>3= 2-1</t>
  </si>
  <si>
    <t>4= 2/1</t>
  </si>
  <si>
    <t>TỔNG NGUỒN THU NSĐP</t>
  </si>
  <si>
    <t>Thu NSĐP được hưởng theo phân cấp</t>
  </si>
  <si>
    <t>Thu bổ sung từ ngân sách cấp trên</t>
  </si>
  <si>
    <t>Thu bổ sung cân đối ngân sách</t>
  </si>
  <si>
    <t>Thu từ quỹ dự trữ tài chính</t>
  </si>
  <si>
    <t>Thu kết dư</t>
  </si>
  <si>
    <t>Thu chuyển nguồn từ năm trước chuyển sang</t>
  </si>
  <si>
    <t>Tổng chi cân đối ngân sách địa phương</t>
  </si>
  <si>
    <t>Chi trả nợ lãi các khoản do chính quyền địa phương vay</t>
  </si>
  <si>
    <t>Chi bổ sung quỹ dự trữ tài chính</t>
  </si>
  <si>
    <t>Dự phòng ngân sách</t>
  </si>
  <si>
    <t>Chi các chương trình mục tiêu</t>
  </si>
  <si>
    <t>Chi các chương trình mục tiêu quốc gia</t>
  </si>
  <si>
    <t>Chi các chương trình mục tiêu, nhiệm vụ</t>
  </si>
  <si>
    <t>Chi chuyển nguồn sang năm sau</t>
  </si>
  <si>
    <t>BỘI CHI NSĐP/BỘI THU NSĐP</t>
  </si>
  <si>
    <t>TỔNG MỨC VAY, TRẢ NỢ CỦA NSĐP</t>
  </si>
  <si>
    <t>Hạn mức dư nợ vay tối đa của NSĐP</t>
  </si>
  <si>
    <t>Mức dư nợ đầu kỳ (năm)</t>
  </si>
  <si>
    <t>Trả nợ gốc vay của NSĐP</t>
  </si>
  <si>
    <t>Từ nguồn bội thu, tăng thu, tiết kiệm chi, kết dư ngân sách cấp tỉnh</t>
  </si>
  <si>
    <t>Tổng mức vay của NSĐP</t>
  </si>
  <si>
    <t>Vay để bù đắp bội chi</t>
  </si>
  <si>
    <t>Vay để trả nợ gốc</t>
  </si>
  <si>
    <t>(2) Năm N là năm dự toán ngân sách; theo đó, các năm N-1, N+1 và N+2 là năm trước, năm sau và năm sau nữa của năm dự toán ngân sách.</t>
  </si>
  <si>
    <t>Biểu mẫu số 08</t>
  </si>
  <si>
    <t>DỰ KIẾN THU NGÂN SÁCH NHÀ NƯỚC THEO LĨNH VỰC GIAI ĐOẠN 03 NĂM...</t>
  </si>
  <si>
    <t>(Dùng cho ngân sách tỉnh, thành phố trực thuộc Trung ương)</t>
  </si>
  <si>
    <t>Nội dung</t>
  </si>
  <si>
    <t>Dự toán ngân sách năm N</t>
  </si>
  <si>
    <t>Dự kiến ngân sách năm N+1</t>
  </si>
  <si>
    <t>Dự kiến ngân sách năm N+2</t>
  </si>
  <si>
    <t>3=2/1</t>
  </si>
  <si>
    <t>TỔNG THU NGÂN SÁCH NHÀ NƯỚC</t>
  </si>
  <si>
    <t>Tỷ lệ thu NSNN so với CRDP (%)</t>
  </si>
  <si>
    <t>Tỷ lệ thu từ thuế, phí so với GRDP (%)</t>
  </si>
  <si>
    <t>Tốc độ tăng thu (%)</t>
  </si>
  <si>
    <t>Tỷ trọng trong tổng thu NSNN (%)</t>
  </si>
  <si>
    <t>Thu từ khu vực doanh nghiệp nhà nước do trung ương quản lý (1)</t>
  </si>
  <si>
    <t>Thu từ khu vực doanh nghiệp nhà nước do địa phương quản lý (2)</t>
  </si>
  <si>
    <t>Thu từ khu vực doanh nghiệp có vốn đầu tư nước ngoài (3)</t>
  </si>
  <si>
    <t>Thu từ khu vực kinh tế ngoài quốc doanh (4)</t>
  </si>
  <si>
    <t>Thuế thu nhập cá nhân</t>
  </si>
  <si>
    <t>Thuế bảo vệ môi trường</t>
  </si>
  <si>
    <t>Lệ phí trước bạ</t>
  </si>
  <si>
    <t>Thu tiền sử dụng đất</t>
  </si>
  <si>
    <t>Thu từ hoạt động xổ số kiến thiết</t>
  </si>
  <si>
    <t>Thu hồi vốn, thu cổ tức, lợi nhuận sau thuế, chênh lệch thu, chi NHNN (5)</t>
  </si>
  <si>
    <t>Thu từ dầu thô</t>
  </si>
  <si>
    <t>Thu từ hoạt động xuất, nhập khẩu</t>
  </si>
  <si>
    <t>Thu viện trợ</t>
  </si>
  <si>
    <t>Ghi chú:</t>
  </si>
  <si>
    <t>(1) Doanh nghiệp nhà nước do trung ương quản lý là doanh nghiệp do bộ, cơ quan ngang bộ, cơ quan thuộc Chính phủ, 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</si>
  <si>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điềulệ.</t>
  </si>
  <si>
    <t>(3) Doanh nghiệp có vốn đầu 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</si>
  <si>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</si>
  <si>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chênh lệch thu, chi Ngân hàng Nhà nước chỉ áp dụng đối với thành phố Hà Nội.</t>
  </si>
  <si>
    <t>Biểu mẫu số 09</t>
  </si>
  <si>
    <t>DỰ KIẾN CÂN ĐỐI NGUỒN THU, CHI NGÂN SÁCH CẤP TỈNH VÀ NGÂN SÁCH HUYỆN GIAI ĐOẠN 03 NĂM...</t>
  </si>
  <si>
    <t>Dự toán năm N-1</t>
  </si>
  <si>
    <t>Ước thực hiện năm N-1</t>
  </si>
  <si>
    <t>Dự toán ngân sách năm N (1)</t>
  </si>
  <si>
    <t>NGÂN SÁCH CẤP TỈNH</t>
  </si>
  <si>
    <t>Nguồn thu ngân sách</t>
  </si>
  <si>
    <t>Thu ngân sách được hưởng theo phân cấp</t>
  </si>
  <si>
    <t>Thu bổ sung từ ngân sách cấp trên</t>
  </si>
  <si>
    <t>Thu kết dư</t>
  </si>
  <si>
    <t>Chi ngân sách</t>
  </si>
  <si>
    <t>Chi thuộc nhiệm vụ của ngân sách cấp tỉnh</t>
  </si>
  <si>
    <t>Chi bổ sung cho ngân sách cấp dưới</t>
  </si>
  <si>
    <t>Chi bổ sung cân đối ngân sách</t>
  </si>
  <si>
    <t>Chi bổ sung có mục tiêu</t>
  </si>
  <si>
    <t>Bội chi NSĐP/Bội thu NSĐP</t>
  </si>
  <si>
    <t>NGÂN SÁCH HUYỆN</t>
  </si>
  <si>
    <t>Chi ngân sách</t>
  </si>
  <si>
    <t>Chi thuộc nhiệm vụ của ngân sách huyện</t>
  </si>
  <si>
    <t>Chi bổ sung cho ngân sách cấp dưới</t>
  </si>
  <si>
    <r>
      <rPr>
        <b/>
        <i/>
        <sz val="11"/>
        <rFont val="Times New Roman"/>
        <family val="1"/>
      </rPr>
      <t>Ghi chú:</t>
    </r>
    <r>
      <rPr>
        <i/>
        <sz val="11"/>
        <rFont val="Times New Roman"/>
        <family val="1"/>
      </rPr>
      <t xml:space="preserve"> (1) Năm N là năm dự toán ngân sách; theo đó, các năm N-1, N+1 và N+2 là năm trước, năm sau và năm sau nữa của năm dự toán ngân sách.</t>
    </r>
  </si>
  <si>
    <t>Biểu mẫu số 10</t>
  </si>
  <si>
    <t>DỰ KIẾN CHI NGÂN SÁCH CẤP TỈNH THEO CƠ CẤU CHI GIAI ĐOẠN 03 NĂM...</t>
  </si>
  <si>
    <t>TỔNG CHI NGÂN SÁCH CẤP TỈNH</t>
  </si>
  <si>
    <t>CHI BỔ SUNG CHO NGÂN SÁCH HUYỆN</t>
  </si>
  <si>
    <t>Chi bổ sung cân đối ngân sách</t>
  </si>
  <si>
    <t>CHI NGÂN SÁCH CẤP TỈNH THEO LĨNH VỰC</t>
  </si>
  <si>
    <t>Chi đầu tư cho các dự án</t>
  </si>
  <si>
    <t>Chi các chương trình mục tiêu, nhiệm vụ</t>
  </si>
  <si>
    <t>Chi đầu tư và hỗ trợ vốn cho các doanh nghiệp cung cấp sản phẩm, dịch vụ công ích do Nhà nước đặt hàng, các tổ chức kinh tế, các tổ chức tài chính của địa phương theo quy định của pháp luật.</t>
  </si>
  <si>
    <t>Chi thường xuyên</t>
  </si>
  <si>
    <r>
      <t>(2) Năm N là năm dự toán ngân sách; theo đó, các năm N-1,</t>
    </r>
    <r>
      <rPr>
        <sz val="11"/>
        <rFont val="Times New Roman"/>
        <family val="1"/>
      </rPr>
      <t> </t>
    </r>
    <r>
      <rPr>
        <i/>
        <sz val="11"/>
        <rFont val="Times New Roman"/>
        <family val="1"/>
      </rPr>
      <t>N+1 và N+2 là năm trước, năm sau và năm sau nữa của năm dự toán ngân sách.</t>
    </r>
  </si>
  <si>
    <r>
      <t>Ghi chú:</t>
    </r>
    <r>
      <rPr>
        <i/>
        <sz val="11"/>
        <rFont val="Times New Roman"/>
        <family val="1"/>
      </rPr>
      <t/>
    </r>
  </si>
  <si>
    <t> (1) Năm đầu thời kỳ ấn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</si>
  <si>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t>Biểu mẫu số 11</t>
  </si>
  <si>
    <t>DỰ KIẾN KẾ HOẠCH ĐẦU TƯ VỐN NGÂN SÁCH ĐỊA PHƯƠNG GIAI ĐOẠN 03 NĂM...</t>
  </si>
  <si>
    <t>(Dùng cho ngân sách tỉnh, thành phố trực thuộc trung ương)</t>
  </si>
  <si>
    <t>Đơn vị: Triệu đồng</t>
  </si>
  <si>
    <t>Kế hoạch năm N-1</t>
  </si>
  <si>
    <t>Dự kiến kế hoạch đầu tư giai đoạn….</t>
  </si>
  <si>
    <t>Dự toán ngân sách năm N (3)</t>
  </si>
  <si>
    <t>CHI ĐẦU TƯ CỦA NGÂN SÁCH CẤP TỈNH VÀ NGÂN SÁCH HUYỆN (1)</t>
  </si>
  <si>
    <t>Ngân sách cấp tỉnh (2)</t>
  </si>
  <si>
    <t>Đầu tư từ nguồn thu xổ số kiến thiết</t>
  </si>
  <si>
    <t>c</t>
  </si>
  <si>
    <t>Vốn cân đối địa phương theo tiêu chí, định mức</t>
  </si>
  <si>
    <t>Bội chi/ bội thu NSĐP</t>
  </si>
  <si>
    <t>Ngân sách huyện</t>
  </si>
  <si>
    <t>Đầu tư từ nguồn thu xổ số kiến thiết (nếu có)</t>
  </si>
  <si>
    <t>Vốn cân đối địa phương theo tiêu chí, định mức</t>
  </si>
  <si>
    <t>- Vốn trong nước</t>
  </si>
  <si>
    <t>- Vốn nước ngoài</t>
  </si>
  <si>
    <t>Chương trình mục tiêu quốc gia...</t>
  </si>
  <si>
    <t>Các chương trình mục tiêu….</t>
  </si>
  <si>
    <t>Vốn nước ngoài</t>
  </si>
  <si>
    <t>(2)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</si>
  <si>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t>(3) Năm N là năm dự toán ngân sách; theo đó, các năm N-1, N+1 và N+2 là năm trước, năm sau và năm sau nữa của năm dự toán ngân sách.</t>
  </si>
  <si>
    <r>
      <t>Đầu tư</t>
    </r>
    <r>
      <rPr>
        <sz val="11"/>
        <rFont val="Times New Roman"/>
        <family val="1"/>
      </rPr>
      <t> </t>
    </r>
    <r>
      <rPr>
        <i/>
        <sz val="11"/>
        <rFont val="Times New Roman"/>
        <family val="1"/>
      </rPr>
      <t>từ nguồn thu sử dụng đất</t>
    </r>
  </si>
  <si>
    <r>
      <t>Đầu tư từ nguồn thu sử</t>
    </r>
    <r>
      <rPr>
        <sz val="11"/>
        <rFont val="Times New Roman"/>
        <family val="1"/>
      </rPr>
      <t> </t>
    </r>
    <r>
      <rPr>
        <i/>
        <sz val="11"/>
        <rFont val="Times New Roman"/>
        <family val="1"/>
      </rPr>
      <t>dụng đất</t>
    </r>
  </si>
  <si>
    <t>(1) Chưa bao gồm chi đầu tư cho các chương trình mục tiêu quốc gia và các chương trình mục tiêu tại mục II.</t>
  </si>
  <si>
    <t>Biểu mẫu số 12</t>
  </si>
  <si>
    <t>Nội dung (1)</t>
  </si>
  <si>
    <t>Dự toán năm...</t>
  </si>
  <si>
    <t>Ước thực hiện năm...</t>
  </si>
  <si>
    <t>3=2-1</t>
  </si>
  <si>
    <t>4=2/1</t>
  </si>
  <si>
    <t>Thu NSĐP được hưởng theo phân cấp</t>
  </si>
  <si>
    <t>Thu NSĐP hưởng 100%</t>
  </si>
  <si>
    <t>Thu NSĐP hưởng từ các khoản thu phân chia</t>
  </si>
  <si>
    <t>Chi đầu tư phát triển</t>
  </si>
  <si>
    <t>TỔNG MỨC VAY CỦA NSĐP</t>
  </si>
  <si>
    <t>Biểu mẫu số 13</t>
  </si>
  <si>
    <t>So sánh (%)</t>
  </si>
  <si>
    <t>Tổng thu NSNN</t>
  </si>
  <si>
    <t>Thu NSĐP</t>
  </si>
  <si>
    <t>5=3/1</t>
  </si>
  <si>
    <t>6=4/2</t>
  </si>
  <si>
    <t>Thu từ khu vực DNNN do trung ương quản lý (1)</t>
  </si>
  <si>
    <t>(Chi tiết theo sắc thuế)</t>
  </si>
  <si>
    <t>Thuế sử dụng đất nông nghiệp</t>
  </si>
  <si>
    <t>Thuế sử dụng đất phi nông nghiệp</t>
  </si>
  <si>
    <t>Tiền cho thuê đất, thuê mặt nước</t>
  </si>
  <si>
    <t>Thu từ hoạt động xổ số kiến thiết</t>
  </si>
  <si>
    <t>Thu tiền cấp quyền khai thác khoáng sản</t>
  </si>
  <si>
    <t>Thu khác ngân sách</t>
  </si>
  <si>
    <t>Thu từ quỹ đất công ích, hoa lợi công sản khác</t>
  </si>
  <si>
    <t>Thu hồi vốn, thu cổ tức (5)</t>
  </si>
  <si>
    <t>Chênh lệch thu chi Ngân hàng Nhà nước (5)</t>
  </si>
  <si>
    <t>Thuế nhập khẩu</t>
  </si>
  <si>
    <t>Thuế BVMT thu từ hàng hóa nhập khẩu</t>
  </si>
  <si>
    <t>Thu khác</t>
  </si>
  <si>
    <t>Thu viện trợ</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</si>
  <si>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</si>
  <si>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 chênh lệch thu, chi Ngân hàng Nhà nước, thu từ dầu thô, thu từ hoạt động xuất, nhập khẩu. Thu chênh lệch thu, chi Ngân hàng Nhà nước chỉ áp dụng đối với thành phố Hà Nội.</t>
  </si>
  <si>
    <t>Biểu mẫu số 14</t>
  </si>
  <si>
    <t>Tương đối (%)</t>
  </si>
  <si>
    <t>CHI CÂN ĐỐI NSĐP</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</si>
  <si>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</si>
  <si>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</si>
  <si>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</si>
  <si>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</si>
  <si>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</si>
  <si>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</si>
  <si>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</si>
  <si>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</si>
  <si>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</si>
  <si>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VI</t>
  </si>
  <si>
    <t>CHI CÁC CHƯƠNG TRÌNH MỤC TIÊU</t>
  </si>
  <si>
    <t>(Chi tiết theo từng Chương trình mục tiêu quốc gia)</t>
  </si>
  <si>
    <t>(Chi tiết theo từng chương trình mục tiêu, nhiệm vụ)</t>
  </si>
  <si>
    <t>Biểu mẫu số 15</t>
  </si>
  <si>
    <t>So sánh (3)</t>
  </si>
  <si>
    <t>Tương đối (%)</t>
  </si>
  <si>
    <t>Chi trả nợ lãi các khoản do chính quyền địa phương vay (2)</t>
  </si>
  <si>
    <t>Chi bổ sung quỹ dự trữ tài chính (2)</t>
  </si>
  <si>
    <t>(3) Đối với các chỉ tiêu thu NSĐP, so sánh dự toán năm kế hoạch với ước thực hiện năm hiện hành. Đối với các chỉ tiêu chi NSĐP, so sánh dự toán năm kế hoạch với dự toán năm hiện hành.</t>
  </si>
  <si>
    <t>Biểu mẫu số 16</t>
  </si>
  <si>
    <t>Lệ phí trước bạ</t>
  </si>
  <si>
    <t>Phí và lệ phí trung ương</t>
  </si>
  <si>
    <t>Phí và lệ phí tỉnh</t>
  </si>
  <si>
    <t>Phí và lệ phí huyện</t>
  </si>
  <si>
    <t>Thuế xuất khẩu</t>
  </si>
  <si>
    <t>(1) Doanh nghiệp nhà nước do trung ương quản lý là doanh nghiệp do bộ, cơ quan ngang bộ, cơ quan thuộc Chính phủ, 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</si>
  <si>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 lệ.</t>
  </si>
  <si>
    <t>(3) Doanh nghiệp có vốn đầu 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</si>
  <si>
    <t>Biểu mẫu số 17</t>
  </si>
  <si>
    <t>Trong đó: Chia theo lĩnh vực</t>
  </si>
  <si>
    <t>Chi khoa học và công nghệ (2)</t>
  </si>
  <si>
    <t>CHI CHUYỂN NGUỒN SANG NĂM SAU</t>
  </si>
  <si>
    <t>(2) Theo quy định tại Điều 7, Điều 11 và Điều 39 Luật NSNN, ngân sách huyện, xã không có nhiệm vụ chi nghiên cứu khoa học và công nghệ, chi trả lãi vay, chi bổ sung quỹ dự trữ tài chính.</t>
  </si>
  <si>
    <r>
      <t>Chi đầu tư từ</t>
    </r>
    <r>
      <rPr>
        <sz val="11"/>
        <color rgb="FF333333"/>
        <rFont val="Times New Roman"/>
        <family val="1"/>
      </rPr>
      <t> </t>
    </r>
    <r>
      <rPr>
        <i/>
        <sz val="11"/>
        <color rgb="FF333333"/>
        <rFont val="Times New Roman"/>
        <family val="1"/>
      </rPr>
      <t>nguồn thu tiền sử dụng đất</t>
    </r>
  </si>
  <si>
    <r>
      <t>Ghi chú:</t>
    </r>
    <r>
      <rPr>
        <i/>
        <sz val="11"/>
        <color rgb="FF333333"/>
        <rFont val="Times New Roman"/>
        <family val="1"/>
      </rPr>
      <t> </t>
    </r>
  </si>
  <si>
    <t>(1) Năm đầu thời kỳ ổn định ngân sách, dự toán chi đầu tư phát triển ngân sách địa phương được xác định bằng định mức phân bổ chi đầu tư phát triển do Ủy ban thường vụ Quốc hội quyết định cộng với (+) số bội chi ngân sách địa phương (nếu có) hoặc trừ đi (-) số bội thu ngân sách địa phương và chi trả nợ lãi (nếu có).</t>
  </si>
  <si>
    <t>Biểu mẫu số 18</t>
  </si>
  <si>
    <t>BỘI CHI VÀ PHƯƠNG ÁN VAY - TRẢ NỢ NGÂN SÁCH ĐỊA PHƯƠNG NĂM...</t>
  </si>
  <si>
    <t>THU NSĐP</t>
  </si>
  <si>
    <t>BỘI CHI NSĐP/BỘI THU NSĐP</t>
  </si>
  <si>
    <t>HẠN MỨC DƯ NỢ VAY TỐI ĐA CỦA NSĐP THEO QUY ĐỊNH</t>
  </si>
  <si>
    <t>KẾ HOẠCH VAY, TRẢ NỢ GỐC</t>
  </si>
  <si>
    <t>Tổng dư nợ đầu năm</t>
  </si>
  <si>
    <t>Tỷ lệ mức dư nợ đầu kỳ so với mức dư nợ vay tối đa của ngân sách địa phương (%)</t>
  </si>
  <si>
    <t>Trái phiếu chính quyền địa phương</t>
  </si>
  <si>
    <t>Vay lại từ nguồn Chính phủ vay ngoài nước</t>
  </si>
  <si>
    <t>Vay trong nước khác</t>
  </si>
  <si>
    <t>Trả nợ gốc vay trong năm</t>
  </si>
  <si>
    <t>Theo nguồn vốn vay</t>
  </si>
  <si>
    <t>Vốn khác</t>
  </si>
  <si>
    <t>Theo nguồn trả nợ</t>
  </si>
  <si>
    <t>Từ nguồn vay để trả nợ gốc</t>
  </si>
  <si>
    <t>Bội thu NSĐP</t>
  </si>
  <si>
    <t>Tăng thu, tiết kiệm chi</t>
  </si>
  <si>
    <t>Kết dư ngân sách cấp tỉnh</t>
  </si>
  <si>
    <t>Tổng mức vay trong năm</t>
  </si>
  <si>
    <t>Theo mục đích vay</t>
  </si>
  <si>
    <t>Theo nguồn vay</t>
  </si>
  <si>
    <t>Vốn trong nước khác</t>
  </si>
  <si>
    <t>Tổng dư nợ cuối năm</t>
  </si>
  <si>
    <t>Tỷ lệ mức dư nợ cuối kỳ so với mức dư nợ vay tối đa của ngân sách địa phương (%)</t>
  </si>
  <si>
    <t>Vốn khác</t>
  </si>
  <si>
    <t>TRẢ NỢ LÃI, PHÍ</t>
  </si>
  <si>
    <t>Vay lại từ nguồn Chính phủ vay ngoài nước</t>
  </si>
  <si>
    <r>
      <t>Ước</t>
    </r>
    <r>
      <rPr>
        <sz val="11"/>
        <rFont val="Times New Roman"/>
        <family val="1"/>
      </rPr>
      <t> </t>
    </r>
    <r>
      <rPr>
        <b/>
        <sz val="11"/>
        <rFont val="Times New Roman"/>
        <family val="1"/>
      </rPr>
      <t>thực hiện năm...</t>
    </r>
  </si>
  <si>
    <r>
      <t>Dự</t>
    </r>
    <r>
      <rPr>
        <sz val="11"/>
        <rFont val="Times New Roman"/>
        <family val="1"/>
      </rPr>
      <t> </t>
    </r>
    <r>
      <rPr>
        <b/>
        <sz val="11"/>
        <rFont val="Times New Roman"/>
        <family val="1"/>
      </rPr>
      <t>toán năm...</t>
    </r>
  </si>
  <si>
    <t>Biểu mẫu số 19</t>
  </si>
  <si>
    <t>(Dùng cho ngân sách tỉnh, huyện)</t>
  </si>
  <si>
    <t>NGÂN SÁCH CẤP TỈNH (HUYỆN)</t>
  </si>
  <si>
    <t>Thu từ quỹ dự trữ tài chính (1)</t>
  </si>
  <si>
    <t>Chi thuộc nhiệm vụ của ngân sách cấp tỉnh (huyện)</t>
  </si>
  <si>
    <t>NGÂN SÁCH HUYỆN (XÃ)</t>
  </si>
  <si>
    <t>Chi thuộc nhiệm vụ của ngân sách cấp huyện (xã)</t>
  </si>
  <si>
    <t>Chi bổ sung cho ngân sách cấp dưới (2)</t>
  </si>
  <si>
    <t>(2) Ngân sách xã không có nhiệm vụ chi bổ sung cho ngân sách cấp dưới.</t>
  </si>
  <si>
    <t> (1) Theo quy định tại Điều 7, Điều 11 Luật NSNN, ngân sách huyện không có thu từ quỹ dự trữ tài chính, bội chi NSĐP.</t>
  </si>
  <si>
    <t>Biểu mẫu số 20</t>
  </si>
  <si>
    <t>Tên đơn vị (1)</t>
  </si>
  <si>
    <t>Bao gồm</t>
  </si>
  <si>
    <t>Tổng số</t>
  </si>
  <si>
    <t>Thu từ hoạt động XNK</t>
  </si>
  <si>
    <t>Thu từ dầu thô</t>
  </si>
  <si>
    <t>9=5/1</t>
  </si>
  <si>
    <t>10=6/2</t>
  </si>
  <si>
    <t>11=7/3</t>
  </si>
  <si>
    <t>12=8/4</t>
  </si>
  <si>
    <t>TỔNG SỐ (2)</t>
  </si>
  <si>
    <t>………</t>
  </si>
  <si>
    <t>(2) Thu NSNN trên địa bàn huyện, xã không có thu từ dầu thô, thu từ hoạt động xuất, nhập khẩu. Các chỉ tiêu cột 3, 4, 7, 8 chỉ ghi dòng tổng số.</t>
  </si>
  <si>
    <r>
      <t>Ghi chú:</t>
    </r>
    <r>
      <rPr>
        <sz val="11"/>
        <rFont val="Times New Roman"/>
        <family val="1"/>
      </rPr>
      <t/>
    </r>
  </si>
  <si>
    <t> (1) Thu ngân sách nhà nước trên địa bàn tỉnh chi tiết đến từng huyện; thu ngân sách nhà nước trên địa bàn huyện chi tiết đến từng xã.</t>
  </si>
  <si>
    <t>Biểu mẫu số 21</t>
  </si>
  <si>
    <t>Tổng thu NSNN trên địa bàn</t>
  </si>
  <si>
    <t>(2) Thu nội địa chi tiết từng khu vực thu, khoản thu.</t>
  </si>
  <si>
    <t>(3) Thu NSNN trên địa bàn huyện, xã không có thu từ dầu thô, thu từ hoạt động xuất, nhập khẩu. Các chỉ tiêu cột 6, 7, 8, 9, 10, 11, 12, 13 chỉ ghi dòng tổng số.</t>
  </si>
  <si>
    <t>Biểu mẫu số 22</t>
  </si>
  <si>
    <t>ĐÁNH GIÁ THỰC HIỆN CHI NGÂN SÁCH ĐỊA PHƯƠNG, CHI NGÂN SÁCH CẤP TỈNH (HUYỆN) VÀ CHI NGÂN SÁCH HUYỆN (XÃ) THEO CƠ CẤU CHI NĂM...</t>
  </si>
  <si>
    <t>Ngân sách địa phương</t>
  </si>
  <si>
    <t>1=2+3</t>
  </si>
  <si>
    <t>4=5+6</t>
  </si>
  <si>
    <t>7=4/1</t>
  </si>
  <si>
    <t>8=5/2</t>
  </si>
  <si>
    <t>9=6/3</t>
  </si>
  <si>
    <t>Chi đầu tư từ nguồn thu xổ số kiến thiết</t>
  </si>
  <si>
    <r>
      <t xml:space="preserve">Ghi chú: </t>
    </r>
    <r>
      <rPr>
        <i/>
        <sz val="12"/>
        <color rgb="FF000000"/>
        <rFont val="Times New Roman"/>
        <family val="1"/>
      </rPr>
      <t>(1) Theo quy định tại Điều 7, Điều 11 và Điều 39 Luật NSNN, ngân sách huyện, xã không có nhiệm vụ chi nghiên cứu khoa học và công nghệ, chi trả lãi vay, chi bổ sung quỹ dự trữ tài chính.</t>
    </r>
  </si>
  <si>
    <t>Biểu mẫu số 23</t>
  </si>
  <si>
    <t>ĐÁNH GIÁ THỰC HIỆN CHI NGÂN SÁCH CẤP TỈNH (HUYỆN, XÃ) THEO LĨNH VỰC NĂM...</t>
  </si>
  <si>
    <t>CHI BỔ SUNG CÂN ĐỐI CHO NGÂN SÁCH CẤP DƯỚI (1)</t>
  </si>
  <si>
    <t>CHI NGÂN SÁCH CẤP TỈNH (HUYỆN, XÃ) THEO LĨNH VỰC</t>
  </si>
  <si>
    <t xml:space="preserve">Chi đầu tư phát triển </t>
  </si>
  <si>
    <t>Chi quốc phòng</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</si>
  <si>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</si>
  <si>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</si>
  <si>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</si>
  <si>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</si>
  <si>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</si>
  <si>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</si>
  <si>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</si>
  <si>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</si>
  <si>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</si>
  <si>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</si>
  <si>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thường xuyên khác</t>
  </si>
  <si>
    <t>(2) Theo quy định tại Điều 7, Điều 11 và Điều 39 Luật NSNN, ngân sách huyện, xã không có nhiệm vụ chi nghiên cứu khoa học và công nghệ, chi trả lãi vay, chi bổ sung quỹ dự trữ tài chính.</t>
  </si>
  <si>
    <t>(1) Ngân sách xã không có nhiệm vụ chi bổ sung cân đối cho ngân sách cấp dưới.</t>
  </si>
  <si>
    <t>Biểu mẫu số 24</t>
  </si>
  <si>
    <t>ĐÁNH GIÁ THỰC HIỆN CHI NGÂN SÁCH CẤP TỈNH (HUYỆN, XÃ) TỪNG CƠ QUAN, TỔ CHỨC THEO LĨNH VỰC NĂM...</t>
  </si>
  <si>
    <t>Chi trả nợ lãi do chính quyền địa phương vay (1)</t>
  </si>
  <si>
    <t>Chi bổ sung quỹ dự trữ tài chính (1)</t>
  </si>
  <si>
    <t>Chi chương trình MTQG</t>
  </si>
  <si>
    <t>Chi chuyển nguồn sang ngân sách năm sau</t>
  </si>
  <si>
    <t>CÁC CƠ QUAN, TỔ CHỨC</t>
  </si>
  <si>
    <t>………..</t>
  </si>
  <si>
    <t>CHI TRẢ NỢ LÃI CÁC KHOẢN DO CHÍNH QUYỀN ĐỊA PHƯƠNG VAY (1)</t>
  </si>
  <si>
    <t>CHI BỔ SUNG QUỸ DỰ TRỮ TÀI CHÍNH (1)</t>
  </si>
  <si>
    <t>CHI BỔ SUNG CÓ MỤC TIÊU DO NGÂN SÁCH CẤP DƯỚI (2)</t>
  </si>
  <si>
    <t>CHI CHUYỂN NGUỒN SANG NGÂN SÁCH NĂM SAU</t>
  </si>
  <si>
    <t>(2) Ngân sách xã không có nhiệm vụ chi bổ sung có mục tiêu cho ngân sách cấp dưới.</t>
  </si>
  <si>
    <t xml:space="preserve">Ghi chú: </t>
  </si>
  <si>
    <t>(1) Theo quy định tại Điều 7, Điều 11 Luật NSNN, ngân sách huyện, xã không có nhiệm vụ chi trả lãi vay, chi bổ sung quỹ dự trữ tài chính.</t>
  </si>
  <si>
    <t>Biểu mẫu số 25</t>
  </si>
  <si>
    <t>ĐÁNH GIÁ THỰC HIỆN CHI ĐẦU TƯ PHÁT TRIỂN CỦA NGÂN SÁCH CẤP TỈNH (HUYỆN, XÃ) CHO TỪNG CƠ QUAN, TỔ CHỨC THEO LĨNH VỰC NĂM...</t>
  </si>
  <si>
    <t>Chi giao thông</t>
  </si>
  <si>
    <t>Chi nông nghiệp, lâm nghiệp, thủy lợi, thủy sản</t>
  </si>
  <si>
    <t>……</t>
  </si>
  <si>
    <t>Biểu mẫu số 26</t>
  </si>
  <si>
    <t>ĐÁNH GIÁ THỰC HIỆN CHI THƯỜNG XUYÊN CỦA NGÂN SÁCH CẤP TỈNH (HUYỆN, XÃ) CHO TỪNG CƠ QUAN, TỔ CHỨC THEO LĨNH VỰC NĂM...</t>
  </si>
  <si>
    <t>Biểu mẫu số 27</t>
  </si>
  <si>
    <t>ĐÁNH GIÁ THỰC HIỆN CHI CÂN ĐỐI NGÂN SÁCH TỪNG HUYỆN (XÃ) NĂM...</t>
  </si>
  <si>
    <t>Đơn vị: triệu đồng</t>
  </si>
  <si>
    <t>Dự toán chi NSĐP năm…..</t>
  </si>
  <si>
    <t>Ước thực hiện chi NSĐP năm…..</t>
  </si>
  <si>
    <t>Chi đầu tư từ nguồn vốn trong nước</t>
  </si>
  <si>
    <t>Chi đầu tư từ nguồn thu XSKT (nếu có)</t>
  </si>
  <si>
    <t>Chi giáo dục, đào tạo và dạy nghề</t>
  </si>
  <si>
    <t>21=11/1</t>
  </si>
  <si>
    <t>22=12/2</t>
  </si>
  <si>
    <t>23=13/3</t>
  </si>
  <si>
    <t>24=14/4</t>
  </si>
  <si>
    <t>25=15/5</t>
  </si>
  <si>
    <t>26=16/6</t>
  </si>
  <si>
    <t>27=17/7</t>
  </si>
  <si>
    <t>28=18/8</t>
  </si>
  <si>
    <t>29=19/9</t>
  </si>
  <si>
    <t>30=20/10</t>
  </si>
  <si>
    <t>Thành phố C</t>
  </si>
  <si>
    <t>……..</t>
  </si>
  <si>
    <t>Thị trấn C</t>
  </si>
  <si>
    <t>(2) Theo quy định tại Điều 39 Luật NSNN, ngân sách huyện, xã không có nhiệm vụ chi nghiên cứu khoa học và công nghệ.</t>
  </si>
  <si>
    <t>(1) Chi ngân sách tỉnh chi tiết đến từng huyện; chi ngân sách huyện chi tiết đến từng xã</t>
  </si>
  <si>
    <t>Biểu mẫu số 28</t>
  </si>
  <si>
    <t>TÌNH HÌNH THỰC HIỆN KẾ HOẠCH TÀI CHÍNH CÁC QUỸ TÀI CHÍNH NHÀ NƯỚC NGOÀI NGÂN SÁCH DO ĐỊA PHƯƠNG QUẢN LÝ NĂM...</t>
  </si>
  <si>
    <t>Tên quỹ</t>
  </si>
  <si>
    <r>
      <t xml:space="preserve">Số dư nguồn đến ngày 31/12/ … </t>
    </r>
    <r>
      <rPr>
        <sz val="12"/>
        <color rgb="FF000000"/>
        <rFont val="Times New Roman"/>
        <family val="1"/>
      </rPr>
      <t>(năm trước)</t>
    </r>
  </si>
  <si>
    <t>Kế hoạch năm...</t>
  </si>
  <si>
    <r>
      <t xml:space="preserve">Số dư nguồn đến 31/12/ … </t>
    </r>
    <r>
      <rPr>
        <sz val="12"/>
        <color rgb="FF000000"/>
        <rFont val="Times New Roman"/>
        <family val="1"/>
      </rPr>
      <t>(năm hiện hành)</t>
    </r>
  </si>
  <si>
    <t>Tổng nguồn vốn phát sinh trong năm</t>
  </si>
  <si>
    <t>Tổng sử dụng nguồn vốn trong năm</t>
  </si>
  <si>
    <t>Chênh lệch nguồn trong năm</t>
  </si>
  <si>
    <r>
      <t xml:space="preserve">Trong đó: Hỗ trợ từ NSĐP </t>
    </r>
    <r>
      <rPr>
        <sz val="12"/>
        <color rgb="FF000000"/>
        <rFont val="Times New Roman"/>
        <family val="1"/>
      </rPr>
      <t>(nếu có)</t>
    </r>
  </si>
  <si>
    <t>5=1+2-4</t>
  </si>
  <si>
    <t>9=6-8</t>
  </si>
  <si>
    <t>10= 1+6-8</t>
  </si>
  <si>
    <t>Quỹ A</t>
  </si>
  <si>
    <t>Quỹ B</t>
  </si>
  <si>
    <t>Quỹ C</t>
  </si>
  <si>
    <t>Biểu mẫu số 29</t>
  </si>
  <si>
    <t>ĐÁNH GIÁ THỰC HIỆN THU DỊCH VỤ CỦA ĐƠN VỊ SỰ NGHIỆP CÔNG NĂM...</t>
  </si>
  <si>
    <t>(KHÔNG BAO GỒM NGUỒN NSNN)</t>
  </si>
  <si>
    <t>Sự nghiệp giáo dục - đào tạo và dạy nghề</t>
  </si>
  <si>
    <t>Sự nghiệp giáo dục</t>
  </si>
  <si>
    <t>Sự nghiệp đào tạo và dạy nghề</t>
  </si>
  <si>
    <t>Sự nghiệp khoa học và công nghệ</t>
  </si>
  <si>
    <t>Sự nghiệp y tế</t>
  </si>
  <si>
    <t>Sự nghiệp văn hóa thông tin</t>
  </si>
  <si>
    <t>Sự nghiệp phát thanh truyền hình</t>
  </si>
  <si>
    <t>Sự nghiệp thể dục thể thao</t>
  </si>
  <si>
    <t>…………………..</t>
  </si>
  <si>
    <t>Biểu mẫu số 30</t>
  </si>
  <si>
    <t>CÂN ĐỐI NGUỒN THU, CHI DỰ TOÁN NGÂN SÁCH CẤP TỈNH (HUYỆN) VÀ NGÂN SÁCH HUYỆN (XÃ) NĂM....</t>
  </si>
  <si>
    <t xml:space="preserve">Nguồn thu ngân sách </t>
  </si>
  <si>
    <t>Bội chi NSĐP/Bội thu NSĐP (1)</t>
  </si>
  <si>
    <t xml:space="preserve">Chi ngân sách </t>
  </si>
  <si>
    <t>Chi bổ sung cho ngân sách cấp dưới (2)</t>
  </si>
  <si>
    <t>(2) Ngân sách xã không có nhiệm vụ chi bổ sung cho ngân sách cấp dưới.</t>
  </si>
  <si>
    <r>
      <t>Ghi chú:</t>
    </r>
    <r>
      <rPr>
        <i/>
        <sz val="12"/>
        <color rgb="FF000000"/>
        <rFont val="Times New Roman"/>
        <family val="1"/>
      </rPr>
      <t xml:space="preserve"> </t>
    </r>
  </si>
  <si>
    <t>(1) Theo quy định tại Điều 7, Điều 11 Luật NSNN, ngân sách huyện không có thu từ quỹ dự trữ tài chính, bội chi NSĐP.</t>
  </si>
  <si>
    <t>Biểu mẫu số 31</t>
  </si>
  <si>
    <t>DỰ TOÁN THU NGÂN SÁCH NHÀ NƯỚC TRÊN ĐỊA BÀN TỪNG HUYỆN (XÃ) NĂM...</t>
  </si>
  <si>
    <t>TỔNG SỐ  (2)</t>
  </si>
  <si>
    <t>….</t>
  </si>
  <si>
    <t>(1) Thu ngân sách nhà nước trên địa bàn tỉnh chi tiết đến từng huyện; thu ngân sách nhà nước trên địa bàn huyện chi tiết đến từng xã.</t>
  </si>
  <si>
    <t>Biểu mẫu số 32</t>
  </si>
  <si>
    <t>Biểu mẫu số 33</t>
  </si>
  <si>
    <t xml:space="preserve">Chi đầu tư phát triển (1) </t>
  </si>
  <si>
    <t xml:space="preserve">Chi khoa học và công nghệ </t>
  </si>
  <si>
    <t xml:space="preserve">Chi các chương trình mục tiêu, nhiệm vụ </t>
  </si>
  <si>
    <t>Biểu mẫu số 34</t>
  </si>
  <si>
    <t>DỰ TOÁN CHI NGÂN SÁCH CẤP TỈNH (HUYỆN, XÃ) THEO LĨNH VỰC NĂM...</t>
  </si>
  <si>
    <t>Dự toán</t>
  </si>
  <si>
    <t xml:space="preserve">Chi đầu tư phát triển (2) </t>
  </si>
  <si>
    <t xml:space="preserve">Chi hoạt động của cơ quan quản lý nhà nước, đảng, đoàn thể </t>
  </si>
  <si>
    <t>Chi đầu tư và hỗ trợ vốn cho các doanh nghiệp cung cấp sản phẩm, dịch vụ công ích do Nhà nước đặt hàng, các tổ chức kinh tế,</t>
  </si>
  <si>
    <t>Chi khoa học và công nghệ (3)</t>
  </si>
  <si>
    <t>Chi trả nợ lãi các khoản do chính quyền địa phương vay (3)</t>
  </si>
  <si>
    <t>Chi bổ sung quỹ dự trữ tài chính (3)</t>
  </si>
  <si>
    <t>(3) Theo quy định tại Điều 7, Điều 11 và Điều 39 Luật NSNN, ngân sách huyện, xã không có nhiệm vụ chi nghiên cứu khoa học và công nghệ, chi trả lãi vay, chi bổ sung quỹ dự trữ tài chính.</t>
  </si>
  <si>
    <t>Biểu mẫu số 35</t>
  </si>
  <si>
    <t>CHI DỰ PHÒNG NGÂN SÁCH</t>
  </si>
  <si>
    <t>CHI TẠO NGUỒN, ĐIỀU CHỈNH TIỀN LƯƠNG</t>
  </si>
  <si>
    <t>VII</t>
  </si>
  <si>
    <t>Biểu mẫu số 36</t>
  </si>
  <si>
    <t>DỰ TOÁN CHI ĐẦU TƯ PHÁT TRIỂN CỦA NGÂN SÁCH CẤP TỈNH (HUYỆN, XÃ) CHO TỪNG CƠ QUAN, TỔ CHỨC THEO LĨNH VỰC NĂM...</t>
  </si>
  <si>
    <t>Biểu mẫu số 37</t>
  </si>
  <si>
    <t>Biểu mẫu số 38</t>
  </si>
  <si>
    <t>Biểu mẫu số 39</t>
  </si>
  <si>
    <t>Biểu mẫu số 40</t>
  </si>
  <si>
    <t>Biểu mẫu số 41</t>
  </si>
  <si>
    <t>Biểu mẫu số 42</t>
  </si>
  <si>
    <t>Biểu mẫu số 43</t>
  </si>
  <si>
    <t>Biểu mẫu số 44</t>
  </si>
  <si>
    <t>Biểu mẫu số 45</t>
  </si>
  <si>
    <t>Biểu mẫu số 46</t>
  </si>
  <si>
    <t>Biểu mẫu số 47</t>
  </si>
  <si>
    <t>Biểu mẫu số 48</t>
  </si>
  <si>
    <t>Biểu mẫu số 49</t>
  </si>
  <si>
    <t>Biểu mẫu số 50</t>
  </si>
  <si>
    <t>Biểu mẫu số 51</t>
  </si>
  <si>
    <t>Biểu mẫu số 52</t>
  </si>
  <si>
    <t>Biểu mẫu số 53</t>
  </si>
  <si>
    <t>Biểu mẫu số 54</t>
  </si>
  <si>
    <t>Đầu tư phát triển</t>
  </si>
  <si>
    <t>Kinh phí sự nghiệp</t>
  </si>
  <si>
    <t>Vốn ngoài nước</t>
  </si>
  <si>
    <t>2=5+12</t>
  </si>
  <si>
    <t>3=8+15</t>
  </si>
  <si>
    <t>4=5+8</t>
  </si>
  <si>
    <t>5=6+7</t>
  </si>
  <si>
    <t>8=9+10</t>
  </si>
  <si>
    <t>11=12+15</t>
  </si>
  <si>
    <t>12=13+14</t>
  </si>
  <si>
    <t>15=16+17</t>
  </si>
  <si>
    <t>Ngân sách cấp tỉnh (huyện, xã)</t>
  </si>
  <si>
    <t>……………</t>
  </si>
  <si>
    <r>
      <t xml:space="preserve">Ghi chú: </t>
    </r>
    <r>
      <rPr>
        <i/>
        <sz val="12"/>
        <color rgb="FF000000"/>
        <rFont val="Times New Roman"/>
        <family val="1"/>
      </rPr>
      <t>(1) Chi Chương trình mục tiêu quốc gia ngân sách tỉnh chi tiết đến từng cơ quan, tổ chức và từng huyện. Chi Chương trình mục tiêu quốc gia ngân sách huyện chi tiết đến từng xã. Chi Chương trình mục tiêu quốc gia ngân sách xã chi tiết đến từng cơ quan, tổ chức.</t>
    </r>
  </si>
  <si>
    <t>Chia ra</t>
  </si>
  <si>
    <t>Số bổ sung cân đối từ ngân sách cấp trên</t>
  </si>
  <si>
    <t>Số bổ sung thực hiện cải cách tiền lương</t>
  </si>
  <si>
    <t>TỶ LỆ PHẦN TRĂM (%) PHÂN CHIA CÁC KHOẢN THU GIỮA NGÂN SÁCH CÁC CẤP CHÍNH QUYỀN ĐỊA PHƯƠNG NĂM...</t>
  </si>
  <si>
    <t>(Dùng cho ngân sách tỉnh - năm đầu thời kỳ ổn định ngân sách)</t>
  </si>
  <si>
    <t>Đơn vị: %</t>
  </si>
  <si>
    <t>Chi tiết theo sắc thuế</t>
  </si>
  <si>
    <t>Thuế giá trị gia tăng</t>
  </si>
  <si>
    <t>Thuế thu nhập doanh nghiệp</t>
  </si>
  <si>
    <t>Bổ sung vốn đầu tư để thực hiện các chương trình mục tiêu, nhiệm vụ</t>
  </si>
  <si>
    <t>Bổ sung thực hiện các chương trình mục tiêu quốc gia</t>
  </si>
  <si>
    <t>DỰ TOÁN BỔ SUNG CÓ MỤC TIÊU TỪ NGÂN SÁCH CẤP TỈNH (HUYỆN) CHO NGÂN SÁCH TỪNG HUYỆN (XÃ) NĂM...</t>
  </si>
  <si>
    <t>Bổ sung vốn sự nghiệp thực hiện các chế độ, chính sách, nhiệm vụ</t>
  </si>
  <si>
    <t>1=2+3+4</t>
  </si>
  <si>
    <t>Ghi chú: (1) Bổ sung có mục tiêu từ ngân sách cấp tỉnh chi tiết đến từng huyện. Bổ sung có mục tiêu từ ngân sách huyện chi tiết đến từng xã.</t>
  </si>
  <si>
    <t>DỰ TOÁN BỔ SUNG CÓ MỤC TIÊU VỐN ĐẦU TƯ TỪ NGÂN SÁCH CẤP TỈNH (HUYỆN) CHO NGÂN SÁCH TỪNG HUYỆN (XÃ) ĐỂ THỰC HIỆN CÁC CHƯƠNG TRÌNH MỤC TIÊU NĂM...</t>
  </si>
  <si>
    <t>Chương trình...</t>
  </si>
  <si>
    <t>7=8+9</t>
  </si>
  <si>
    <r>
      <t>Ghi chú:</t>
    </r>
    <r>
      <rPr>
        <i/>
        <sz val="12"/>
        <color rgb="FF000000"/>
        <rFont val="Times New Roman"/>
        <family val="1"/>
      </rPr>
      <t xml:space="preserve"> (1) Chi bổ sung có mục tiêu từ ngân sách tỉnh chi tiết đến từng huyện; chi bổ sung có mục tiêu từ ngân sách huyện chi tiết đến từng xã.</t>
    </r>
  </si>
  <si>
    <t>DỰ TOÁN BỔ SUNG CÓ MỤC TIÊU VỐN SỰ NGHIỆP TỪ NGÂN SÁCH CẤP TỈNH (HUYỆN) CHO NGÂN SÁCH TỪNG HUYỆN (XÃ)</t>
  </si>
  <si>
    <t>ĐỂ THỰC HIỆN CÁC CHẾ ĐỘ, NHIỆM VỤ VÀ CHÍNH SÁCH THEO QUY ĐỊNH NĂM...</t>
  </si>
  <si>
    <t>Chính sách ….</t>
  </si>
  <si>
    <t>....</t>
  </si>
  <si>
    <r>
      <t xml:space="preserve">Ghi chú: </t>
    </r>
    <r>
      <rPr>
        <i/>
        <sz val="12"/>
        <color rgb="FF000000"/>
        <rFont val="Times New Roman"/>
        <family val="1"/>
      </rPr>
      <t>(1) Chi bổ sung có mục tiêu từ ngân sách tỉnh chi tiết đến từng huyện; Chi bổ sung có mục tiêu từ ngân sách huyện chi tiết đến từng xã.</t>
    </r>
  </si>
  <si>
    <t>KẾ HOẠCH TÀI CHÍNH CỦA CÁC QUỸ TÀI CHÍNH NHÀ NƯỚC NGOÀI NGÂN SÁCH DO ĐỊA PHƯƠNG QUẢN LÝ NĂM ...</t>
  </si>
  <si>
    <r>
      <t xml:space="preserve">Dư nguồn đến ngày 31/12/… </t>
    </r>
    <r>
      <rPr>
        <sz val="12"/>
        <color rgb="FF000000"/>
        <rFont val="Times New Roman"/>
        <family val="1"/>
      </rPr>
      <t>(năm trước)</t>
    </r>
  </si>
  <si>
    <r>
      <t xml:space="preserve">Số dư nguồn đến ngày 31/12/… </t>
    </r>
    <r>
      <rPr>
        <sz val="12"/>
        <color rgb="FF000000"/>
        <rFont val="Times New Roman"/>
        <family val="1"/>
      </rPr>
      <t>(năm hiện hành)</t>
    </r>
  </si>
  <si>
    <t>Kế hoạch năm…..</t>
  </si>
  <si>
    <r>
      <t xml:space="preserve">Dự kiến dư nguồn đến ngày 31/12/… </t>
    </r>
    <r>
      <rPr>
        <sz val="12"/>
        <color rgb="FF000000"/>
        <rFont val="Times New Roman"/>
        <family val="1"/>
      </rPr>
      <t>(năm sau)</t>
    </r>
  </si>
  <si>
    <t>Trong đó: Hỗ trợ từ NSĐP (nếu có)</t>
  </si>
  <si>
    <t>5=2-4</t>
  </si>
  <si>
    <t>6=1+2-4</t>
  </si>
  <si>
    <t>10=7-9</t>
  </si>
  <si>
    <t>11=6+7-9</t>
  </si>
  <si>
    <t>Giá trị khối lượng thực hiện từ khởi công đến 31/12/…</t>
  </si>
  <si>
    <t>Lũy kế vốn đã bố trí đến 31/12/….</t>
  </si>
  <si>
    <t>Tổng mức đầu tư được duyệt</t>
  </si>
  <si>
    <t>Chia theo nguồn vốn</t>
  </si>
  <si>
    <t>Ngoài nước</t>
  </si>
  <si>
    <t>KẾ HOẠCH THU DỊCH VỤ CỦA ĐƠN VỊ SỰ NGHIỆP CÔNG NĂM...</t>
  </si>
  <si>
    <t>QUYẾT TOÁN CÂN ĐỐI NGÂN SÁCH ĐỊA PHƯƠNG NĂM...</t>
  </si>
  <si>
    <t>Quyết toán</t>
  </si>
  <si>
    <t xml:space="preserve">Thu bổ sung từ ngân sách cấp trên </t>
  </si>
  <si>
    <t xml:space="preserve">Tổng chi cân đối NSĐP </t>
  </si>
  <si>
    <t>BỘI CHI NSĐP/BỘI THU NSĐP/KẾT DƯ NSĐP</t>
  </si>
  <si>
    <t>CHI TRẢ NỢ GỐC CỦA NSĐP</t>
  </si>
  <si>
    <t>TỔNG MỨC DƯ NỢ VAY CUỐI NĂM CỦA NSĐP</t>
  </si>
  <si>
    <r>
      <t xml:space="preserve">Ghi chú: </t>
    </r>
    <r>
      <rPr>
        <i/>
        <sz val="12"/>
        <color rgb="FF000000"/>
        <rFont val="Times New Roman"/>
        <family val="1"/>
      </rPr>
      <t>(1) Theo quy định tại Điều 7, Điều 11 và Điều 39 Luật NSNN, ngân sách huyện, xã không có nhiệm vụ chi nghiên cứu khoa học và công nghệ, trả lãi vay, chi bổ sung quỹ dự trữ tài chính, bội chi NSĐP, vay và trả nợ gốc vay.</t>
    </r>
  </si>
  <si>
    <t>QUYẾT TOÁN CÂN ĐỐI NGUỒN THU, CHI NGÂN SÁCH CẤP TỈNH (HUYỆN) VÀ NGÂN SÁCH HUYỆN (XÃ) NĂM...</t>
  </si>
  <si>
    <t>Bổ sung cân đối ngân sách</t>
  </si>
  <si>
    <t>Bổ sung có mục tiêu</t>
  </si>
  <si>
    <t>Chi trả nợ gốc từ nguồn bội thu, tăng thu, tiết kiệm, kết dư ngân sách cấp tỉnh (1)</t>
  </si>
  <si>
    <t>Bội chi NSĐP/Kết dư NSĐP (1)</t>
  </si>
  <si>
    <t>Kết dư</t>
  </si>
  <si>
    <t>(1) Theo quy định tại Điều 7, Điều 11 Luật NSNN, ngân sách huyện không có thu từ quỹ dự trữ tài chính, chi trả nợ gốc và bội chi NSĐP.</t>
  </si>
  <si>
    <t>QUYẾT TOÁN NGUỒN THU NGÂN SÁCH NHÀ NƯỚC TRÊN ĐỊA BÀN THEO LĨNH VỰC NĂM...</t>
  </si>
  <si>
    <t>TỔNG NGUỒN THU NSNN (A+B+C+D)</t>
  </si>
  <si>
    <t>TỔNG THU CÂN ĐỐI NSNN</t>
  </si>
  <si>
    <t>Thu từ khu vực DNNN do địa phương quản lý (2)</t>
  </si>
  <si>
    <t>Thuế BVMT thu từ hàng hóa sản xuất, kinh doanh trong nước</t>
  </si>
  <si>
    <t xml:space="preserve">Thu phí, lệ phí </t>
  </si>
  <si>
    <t>Phí và lệ phí xã, phường</t>
  </si>
  <si>
    <t>Tiền cho thuê và tiền bán nhà ở thuộc sở hữu nhà nước</t>
  </si>
  <si>
    <t>Lợi nhuận được chia của Nhà nước và lợi nhuận sau thuế còn lại sau khi trích lập các quỹ của doanh nghiệp nhà nước (5)</t>
  </si>
  <si>
    <t xml:space="preserve">Thu từ hoạt động xuất nhập khẩu </t>
  </si>
  <si>
    <t>Thuế tiêu thụ đặc biệt thu từ hàng hóa nhập khẩu</t>
  </si>
  <si>
    <t>Thuế bảo vệ môi trường thu từ hàng hóa nhập khẩu</t>
  </si>
  <si>
    <t>Thuế giá trị gia tăng thu từ hàng hóa nhập khẩu</t>
  </si>
  <si>
    <t>THU TỪ QUỸ DỰ TRỮ TÀI CHÍNH</t>
  </si>
  <si>
    <t>THU KẾT DƯ NĂM TRƯỚC</t>
  </si>
  <si>
    <t>THU CHUYỂN NGUỒN TỪ NĂM TRƯỚC CHUYỂN SANG</t>
  </si>
  <si>
    <t>QUYẾT TOÁN CHI NGÂN SÁCH ĐỊA PHƯƠNG THEO LĨNH VỰC NĂM...</t>
  </si>
  <si>
    <t>TỔNG CHI NGÂN SÁCH ĐỊA PHƯƠNG</t>
  </si>
  <si>
    <t>CHI CÂN ĐỐI NGÂN SÁCH ĐỊA PHƯƠNG</t>
  </si>
  <si>
    <t xml:space="preserve">Chi đầu tư cho các dự án </t>
  </si>
  <si>
    <t>QUYẾT TOÁN CHI NGÂN SÁCH CẤP TỈNH (HUYỆN, XÃ) THEO LĨNH VỰC NĂM...</t>
  </si>
  <si>
    <t>QUYẾT TOÁN CHI NGÂN SÁCH ĐỊA PHƯƠNG, CHI NGÂN SÁCH CẤP TỈNH (HUYỆN) VÀ CHI NGÂN SÁCH HUYỆN (XÃ) THEO CƠ CẤU CHI NĂM...</t>
  </si>
  <si>
    <t>QUYẾT TOÁN CHI NGÂN SÁCH CẤP TỈNH (HUYỆN, XÃ) CHO TỪNG CƠ QUAN, TỔ CHỨC THEO LĨNH VỰC NĂM...</t>
  </si>
  <si>
    <t>Dự toán (1)</t>
  </si>
  <si>
    <r>
      <t xml:space="preserve">Chi đầu tư phát triển </t>
    </r>
    <r>
      <rPr>
        <sz val="12"/>
        <rFont val="Times New Roman"/>
        <family val="1"/>
      </rPr>
      <t>(Không kể chương trình MTQG)</t>
    </r>
  </si>
  <si>
    <r>
      <t xml:space="preserve">Chi thường xuyên </t>
    </r>
    <r>
      <rPr>
        <sz val="12"/>
        <rFont val="Times New Roman"/>
        <family val="1"/>
      </rPr>
      <t>(Không kể chương trình MTQG)</t>
    </r>
  </si>
  <si>
    <t>Chi trả nợ lãi do chính quyền địa phương vay (2)</t>
  </si>
  <si>
    <t>CHI TRẢ NỢ LÃI CÁC KHOẢN DO CHÍNH QUYỀN ĐỊA PHƯƠNG VAY (2)</t>
  </si>
  <si>
    <t>CHI BỔ SUNG QUỸ DỰ TRỮ TÀI CHÍNH (2)</t>
  </si>
  <si>
    <t>CHI BỔ SUNG CÓ MỤC TIÊU CHO NGÂN SÁCH CẤP DƯỚI (3)</t>
  </si>
  <si>
    <t>(2) Theo quy định tại Điều 7, Điều 11 Luật NSNN, ngân sách huyện, xã không có nhiệm vụ chi trả lãi vay, chi bổ sung quỹ dự trữ tài chính.</t>
  </si>
  <si>
    <t>(3) Ngân sách xã không có nhiệm vụ chi bổ sung có mục tiêu cho ngân sách cấp dưới.</t>
  </si>
  <si>
    <t>(1) Dự toán chi ngân sách địa phương chi tiết theo các chỉ tiêu tương ứng phần quyết toán chi ngân sách địa phương.</t>
  </si>
  <si>
    <t>Biểu mẫu số 55</t>
  </si>
  <si>
    <t>QUYẾT TOÁN CHI ĐẦU TƯ PHÁT TRIỂN CỦA NGÂN SÁCH CẤP TỈNH (HUYỆN, XÃ) CHO TỪNG CƠ QUAN, TỔ CHỨC THEO LĨNH VỰC NĂM...</t>
  </si>
  <si>
    <t>18=2/1</t>
  </si>
  <si>
    <t>Doanh nghiệp C</t>
  </si>
  <si>
    <t>Biểu mẫu số 56</t>
  </si>
  <si>
    <t>QUYẾT TOÁN CHI THƯỜNG XUYÊN CỦA NGÂN SÁCH CẤP TỈNH (HUYỆN, XÃ) CHO TỪNG CƠ QUAN, TỔ CHỨC THEO LĨNH VỰC NĂM...</t>
  </si>
  <si>
    <t>18= 2/1</t>
  </si>
  <si>
    <t>Biểu mẫu số 57</t>
  </si>
  <si>
    <t>TỔNG HỢP QUYẾT TOÁN CHI THƯỜNG XUYÊN NGÂN SÁCH CẤP TỈNH (HUYỆN, XÃ) CỦA TỪNG CƠ QUAN, TỔ CHỨC THEO NGUỒN VỐN NĂM...</t>
  </si>
  <si>
    <t>Dự toán được cấp</t>
  </si>
  <si>
    <t>Kinh phí thực hiện trong năm</t>
  </si>
  <si>
    <t>Nguồn còn lại</t>
  </si>
  <si>
    <t>Dự toán đầu năm</t>
  </si>
  <si>
    <r>
      <t xml:space="preserve">Bổ sung trong năm </t>
    </r>
    <r>
      <rPr>
        <sz val="12"/>
        <color rgb="FF000000"/>
        <rFont val="Times New Roman"/>
        <family val="1"/>
      </rPr>
      <t>(nếu có)</t>
    </r>
  </si>
  <si>
    <r>
      <t xml:space="preserve">Giảm trừ trong năm </t>
    </r>
    <r>
      <rPr>
        <sz val="12"/>
        <color rgb="FF000000"/>
        <rFont val="Times New Roman"/>
        <family val="1"/>
      </rPr>
      <t>(nếu có)</t>
    </r>
  </si>
  <si>
    <t>Chuyển nguồn năm sau</t>
  </si>
  <si>
    <t>Hủy bỏ</t>
  </si>
  <si>
    <t>1=2+3-4</t>
  </si>
  <si>
    <t>6=1-5</t>
  </si>
  <si>
    <t>Biểu mẫu số 58</t>
  </si>
  <si>
    <t>QUYẾT TOÁN CHI NGÂN SÁCH ĐỊA PHƯƠNG TỪNG HUYỆN (XÃ) NĂM...</t>
  </si>
  <si>
    <t>Dự toán (2)</t>
  </si>
  <si>
    <t>Chi CTMTQG</t>
  </si>
  <si>
    <t>Chi giáo dục đào tạo dạy nghề</t>
  </si>
  <si>
    <t>15= 4/1</t>
  </si>
  <si>
    <t>16= 5/2</t>
  </si>
  <si>
    <t>(2) Dự toán chi ngân sách địa phương chi tiết theo các chỉ tiêu tương ứng phần Quyết toán chi ngân sách địa phương.</t>
  </si>
  <si>
    <t>(3) Theo quy định tại Điều 7, Điều 39 Luật NSNN, ngân sách huyện, xã không có nhiệm vụ chi nghiên cứu khoa học và công nghệ.</t>
  </si>
  <si>
    <t>(1) Theo quy định tại Điều 7, Điều 39 Luật NSNN, ngân sách huyện, xã không có nhiệm vụ chi nghiên cứu khoa học và công nghệ.</t>
  </si>
  <si>
    <t>Biểu mẫu số 59</t>
  </si>
  <si>
    <t>QUYẾT TOÁN CHI BỔ SUNG TỪ NGÂN SÁCH CẤP TỈNH (HUYỆN) CHO NGÂN SÁCH TỪNG HUYỆN (XÃ) NĂM...</t>
  </si>
  <si>
    <t>So sách (%)</t>
  </si>
  <si>
    <t>Gồm</t>
  </si>
  <si>
    <t>Vốn đầu tư để thực hiện các CTMT, nhiệm vụ</t>
  </si>
  <si>
    <t>Vốn sự nghiệp thực hiện các chế độ, chính sách</t>
  </si>
  <si>
    <t>Vốn thực hiện các CTMT quốc gia</t>
  </si>
  <si>
    <t>3=4+5</t>
  </si>
  <si>
    <t>11=12+13</t>
  </si>
  <si>
    <t>17=9/1</t>
  </si>
  <si>
    <t>18=10/2</t>
  </si>
  <si>
    <t>19=11/3</t>
  </si>
  <si>
    <t>20=12/4</t>
  </si>
  <si>
    <t>21=13/5</t>
  </si>
  <si>
    <t>22=14/6</t>
  </si>
  <si>
    <t>23=15/7</t>
  </si>
  <si>
    <t>24=16/8</t>
  </si>
  <si>
    <r>
      <t xml:space="preserve">Ghi chú: </t>
    </r>
    <r>
      <rPr>
        <i/>
        <sz val="12"/>
        <color rgb="FF000000"/>
        <rFont val="Times New Roman"/>
        <family val="1"/>
      </rPr>
      <t>(1) Bổ sung từ ngân sách tỉnh chi tiết đến từng huyện; bổ sung từ ngân sách huyện chi tiết đến từng xã.</t>
    </r>
  </si>
  <si>
    <t>Biểu mẫu số 60</t>
  </si>
  <si>
    <t>QUYẾT TOÁN THU NGÂN SÁCH HUYỆN (XÃ) NĂM...</t>
  </si>
  <si>
    <t>Tổng thu NSĐP</t>
  </si>
  <si>
    <t>Thu NSĐP hưởng theo phân cấp</t>
  </si>
  <si>
    <t>Thu từ kết dư năm trước</t>
  </si>
  <si>
    <t>Biểu mẫu số 61</t>
  </si>
  <si>
    <t>QUYẾT TOÁN CHI CHƯƠNG TRÌNH MỤC TIÊU QUỐC GIA NĂM...</t>
  </si>
  <si>
    <t>Chương trình mục tiêu quốc gia ….</t>
  </si>
  <si>
    <t>16=5/1</t>
  </si>
  <si>
    <t>17=6/2</t>
  </si>
  <si>
    <t>18=7/3</t>
  </si>
  <si>
    <t>19=8/4</t>
  </si>
  <si>
    <t>Biểu mẫu số 62</t>
  </si>
  <si>
    <t>QUYẾT TOÁN VỐN ĐẦU TƯ CÁC CHƯƠNG TRÌNH, DỰ ÁN SỬ DỤNG VỐN NGÂN SÁCH NHÀ NƯỚC NĂM...</t>
  </si>
  <si>
    <t>DỰ TOÁN</t>
  </si>
  <si>
    <t>QUYẾT TOÁN</t>
  </si>
  <si>
    <t>25=21/17</t>
  </si>
  <si>
    <t>26=22/18</t>
  </si>
  <si>
    <t>27=23/19</t>
  </si>
  <si>
    <t>28=24/20</t>
  </si>
  <si>
    <t>Biểu mẫu số 63</t>
  </si>
  <si>
    <t>TỔNG HỢP CÁC QUỸ TÀI CHÍNH NHÀ NƯỚC NGOÀI NGÂN SÁCH DO ĐỊA PHƯƠNG QUẢN LÝ NĂM...</t>
  </si>
  <si>
    <t>Tên Quỹ</t>
  </si>
  <si>
    <r>
      <t xml:space="preserve">Dư nguồn đến ngày 31/12/ … </t>
    </r>
    <r>
      <rPr>
        <sz val="12"/>
        <color rgb="FF000000"/>
        <rFont val="Times New Roman"/>
        <family val="1"/>
      </rPr>
      <t>(năm trước)</t>
    </r>
  </si>
  <si>
    <t>Thực hiện năm...</t>
  </si>
  <si>
    <t xml:space="preserve">Dư nguồn đến 31/12/ … </t>
  </si>
  <si>
    <t>10=1+6-8</t>
  </si>
  <si>
    <t>Biểu mẫu số 64</t>
  </si>
  <si>
    <t>TỔNG HỢP THU DỊCH VỤ CỦA ĐƠN VỊ SỰ NGHIỆP CÔNG NĂM...</t>
  </si>
  <si>
    <t>(KHÔNG BAO GỒM NGUỒN NGÂN SÁCH NHÀ NƯỚC)</t>
  </si>
  <si>
    <t>Phần thứ nhất</t>
  </si>
  <si>
    <t>Kế hoạch tài chính 05 năm địa phương</t>
  </si>
  <si>
    <t>Dự báo một số chỉ tiêu kinh tế - xã hội chủ yếu giai đoạn...</t>
  </si>
  <si>
    <t>Kế hoạch tài chính - ngân sách giai đoạn 05 năm...</t>
  </si>
  <si>
    <t>Phần thứ hai</t>
  </si>
  <si>
    <t>Kế hoạch đầu tư công trung hạn 05 năm địa phương</t>
  </si>
  <si>
    <t>Dự kiến phương án phân bổ kế hoạch đầu tư công trung hạn vốn ngân sách nhà nước giai đoạn 05 năm...</t>
  </si>
  <si>
    <t>Tổng hợp dự kiến kế hoạch đầu tư công trung hạn vốn ngân sách nhà nước của các cơ quan, đơn vị và địa phương giai đoạn 05 năm...</t>
  </si>
  <si>
    <t>Danh mục chương trình, dự án dự kiến bố trí kế hoạch đầu tư công trung hạn vốn trong nước giai đoạn 05 năm...</t>
  </si>
  <si>
    <t>Danh mục chương trình, dự án dự kiến bố trí kế hoạch đầu tư công trung hạn vốn nước ngoài (vốn ODA và vốn vay ưu đãi của các nhà tài trợ nước ngoài) giai đoạn 05 năm...</t>
  </si>
  <si>
    <t>Phần thứ ba</t>
  </si>
  <si>
    <t>Kế hoạch tài chính - ngân sách nhà nước 03 năm địa phương</t>
  </si>
  <si>
    <t>Dự kiến cân đối ngân sách địa phương giai đoạn 03 năm...</t>
  </si>
  <si>
    <t>Dự kiến thu ngân sách nhà nước theo lĩnh vực giai đoạn 03 năm...</t>
  </si>
  <si>
    <t>Dự kiến cân đối nguồn thu, chi ngân sách cấp tỉnh và ngân sách huyện giai đoạn 03 năm...</t>
  </si>
  <si>
    <t>Dự kiến chi ngân sách cấp tỉnh theo cơ cấu chi giai đoạn 03 năm...</t>
  </si>
  <si>
    <t>Dự kiến kế hoạch đầu tư vốn ngân sách địa phương giai đoạn 03 năm...</t>
  </si>
  <si>
    <t>Phần thứ tư</t>
  </si>
  <si>
    <t>Dự toán ngân sách địa phương</t>
  </si>
  <si>
    <t>1.</t>
  </si>
  <si>
    <t>Tình hình thực hiện ngân sách địa phương năm hiện hành</t>
  </si>
  <si>
    <t>Đánh giá cân đối ngân sách địa phương năm...</t>
  </si>
  <si>
    <t>Đánh giá thực hiện thu ngân sách nhà nước theo lĩnh vực năm..,.</t>
  </si>
  <si>
    <t>Đánh giá thực hiện chi ngân sách địa phương theo cơ cấu chi năm...</t>
  </si>
  <si>
    <t>2.</t>
  </si>
  <si>
    <t>Dự toán ngân sách địa phương năm sau</t>
  </si>
  <si>
    <t>Cân đối ngân sách địa phương năm...</t>
  </si>
  <si>
    <t>Dự toán thu ngân sách nhà nước theo lĩnh vực năm...</t>
  </si>
  <si>
    <t>Dự toán chi ngân sách địa phương theo cơ cấu chi năm...</t>
  </si>
  <si>
    <t>Bội chi và phương án vay - trả nợ ngân sách địa phương năm...</t>
  </si>
  <si>
    <t>Phần thứ năm</t>
  </si>
  <si>
    <t>Phân bổ ngân sách địa phương</t>
  </si>
  <si>
    <t>Đánh giá cân đối nguồn thu, chi ngân sách cấp tỉnh (huyện) và ngân sách huyện (xã) năm...</t>
  </si>
  <si>
    <t>Đánh giá thực hiện thu ngân sách nhà nước trên địa bàn từng huyện (xã) năm...</t>
  </si>
  <si>
    <t>Đánh giá thực hiện thu ngân sách nhà nước trên địa bàn từng huyện (xã) theo lĩnh vực năm...</t>
  </si>
  <si>
    <t>Đánh giá thực hiện chi ngân sách địa phương, chi ngân sách cấp tỉnh (huyện) và chi ngân sách huyện (xã) theo cơ cấu chi năm...</t>
  </si>
  <si>
    <t>Đánh giá thực hiện chi ngân sách cấp tỉnh (huyện, xã) theo lĩnh vực năm...</t>
  </si>
  <si>
    <t>Đánh giá thực hiện chi ngân sách cấp tỉnh (huyện, xã) cho từng cơ quan, tổ chức theo lĩnh vực năm...</t>
  </si>
  <si>
    <t>Đánh giá thực hiện chi đầu tư phát triển ngân sách cấp tỉnh (huyện, xã) cho từng cơ quan, tổ chức theo lĩnh vực năm...</t>
  </si>
  <si>
    <t>Đánh giá thực hiện chi thường xuyên ngân sách cấp tỉnh (huyện, xã) cho từng cơ quan, tổ chức theo lĩnh vực năm...</t>
  </si>
  <si>
    <t>Đánh giá thực hiện chi cân đối ngân sách từng huyện (xã) năm...</t>
  </si>
  <si>
    <t>Tình hình thực hiện kế hoạch tài chính các quỹ tài chính nhà nước ngoài ngân sách do địa phương quản lý năm...</t>
  </si>
  <si>
    <t>Đánh giá thực hiện thu dịch vụ của đơn vị sự nghiệp công năm...(không bao gồm nguồn ngân sách nhà nước)</t>
  </si>
  <si>
    <t>Phân bổ dự toán ngân sách địa phương năm sau</t>
  </si>
  <si>
    <t>Cân đối nguồn thu, chi dự toán ngân sách cấp tỉnh (huyện) và ngân sách huyện (xã) năm...</t>
  </si>
  <si>
    <t>Dự toán thu ngân sách nhà nước trên địa bàn từng huyện (xã) năm...</t>
  </si>
  <si>
    <t>Dự toán thu ngân sách nhà nước trên địa bàn từng huyện (xã) theo lĩnh vực năm...</t>
  </si>
  <si>
    <t>Dự toán chi ngân sách địa phương, chi ngân sách cấp tỉnh (huyện) và ngân sách huyện (xã) theo cơ cấu chi năm...</t>
  </si>
  <si>
    <t>Dự toán chi ngân sách cấp tỉnh (huyện, xã) theo lĩnh vực năm...</t>
  </si>
  <si>
    <t>Dự toán chi ngân sách cấp tỉnh (huyện, xã) cho từng cơ quan, tổ chức theo lĩnh vực năm...</t>
  </si>
  <si>
    <t>Dự toán chi đầu tư phát triển của ngân sách cấp tỉnh (huyện, xã) cho từng cơ quan, tổ chức theo lĩnh vực năm...</t>
  </si>
  <si>
    <t>Dự toán chi thường xuyên của ngân sách cấp tỉnh (huyện, xã) cho từng cơ quan, tổ chức theo lĩnh vực năm...</t>
  </si>
  <si>
    <t>Dự toán chi chương trình mục tiêu quốc gia ngân sách cấp tỉnh (huyện) và ngân sách huyện (xã) năm....</t>
  </si>
  <si>
    <t>Dự toán thu, chi ngân sách địa phương và số bổ sung cân đối từ ngân sách cấp trên cho ngân sách cấp dưới năm....</t>
  </si>
  <si>
    <t>Tỷ lệ phần trăm (%) phân chia các khoản thu giữa ngân sách các cấp chính quyền địa phương năm...</t>
  </si>
  <si>
    <t>Dự toán chi ngân sách địa phương từng huyện (xã) năm...</t>
  </si>
  <si>
    <t>Dự toán bổ sung có mục tiêu từ ngân sách cấp tỉnh (huyện) cho ngân sách từng huyện (xã) năm...</t>
  </si>
  <si>
    <t>Dự toán bổ sung có mục tiêu vốn đầu tư từ ngân sách cấp tỉnh (huyện) cho ngân sách từng huyện (xã) để thực hiện các chương trình mục tiêu năm...</t>
  </si>
  <si>
    <t>Dự toán bổ sung có mục tiêu vốn sự nghiệp từ ngân sách cấp tỉnh (huyện) cho ngân sách từng huyện (xã) để thực hiện các chế độ, nhiệm vụ và chính sách theo quy định năm...</t>
  </si>
  <si>
    <t>Kế hoạch tài chính của các quỹ tài chính nhà nước ngoài ngân sách do địa phương quản lý năm...</t>
  </si>
  <si>
    <t>Danh mục các chương trình, dự án sử dụng vốn ngân sách nhà nước năm...</t>
  </si>
  <si>
    <t>Kế hoạch thu dịch vụ của đơn vị sự nghiệp công năm.... (không bao gồm nguồn ngân sách nhà nước)</t>
  </si>
  <si>
    <t>Phần thứ sáu</t>
  </si>
  <si>
    <t>Quyết toán ngân sách địa phương</t>
  </si>
  <si>
    <t>Quyết toán cân đối ngân sách địa phương năm...</t>
  </si>
  <si>
    <t>Quyết toán cân đối nguồn thu, chi ngân sách cấp tỉnh (huyện) và ngân sách huyện (xã) năm...</t>
  </si>
  <si>
    <t>Quyết toán nguồn thu ngân sách nhà nước trên địa bàn theo lĩnh vực năm...</t>
  </si>
  <si>
    <t>Quyết toán chi ngân sách địa phương theo lĩnh vực năm....</t>
  </si>
  <si>
    <t>Quyết toán chi ngân sách cấp tỉnh (huyện, xã) theo lĩnh vực năm....</t>
  </si>
  <si>
    <t>Quyết toán chi ngân sách địa phương, chi ngân sách cấp tỉnh (huyện) và chi ngân sách huyện (xã) theo cơ cấu chi năm...</t>
  </si>
  <si>
    <t>Quyết toán chi ngân sách cấp tỉnh (huyện, xã) cho từng cơ quan, tổ chức theo lĩnh vực năm...</t>
  </si>
  <si>
    <t>Quyết toán chi đầu tư phát triển của ngân sách cấp tỉnh (huyện, xã) cho từng cơ quan, tổ chức theo lĩnh vực năm...</t>
  </si>
  <si>
    <t>Quyết toán chi thường xuyên của ngân sách cấp tỉnh (huyện, xã) cho từng cơ quan, tổ chức theo lĩnh vực năm...</t>
  </si>
  <si>
    <t>Tổng hợp quyết toán chi thường xuyên ngân sách cấp tỉnh (huyện, xã) của từng cơ quan, tổ chức theo nguồn vốn năm...</t>
  </si>
  <si>
    <t>Quyết toán chi ngân sách địa phương từng huyện (xã) năm...</t>
  </si>
  <si>
    <t>Quyết toán chi bổ sung từ ngân sách cấp tỉnh (huyện) cho ngân sách từng huyện (xã) năm...</t>
  </si>
  <si>
    <t>Quyết toán thu ngân sách huyện (xã) năm...</t>
  </si>
  <si>
    <t>Quyết toán chi chương trình mục tiêu quốc gia năm...</t>
  </si>
  <si>
    <t>Quyết toán vốn đầu tư các chương trình, dự án sử dụng vốn ngân sách nhà nước năm...</t>
  </si>
  <si>
    <t>Tổng hợp các quỹ tài chính nhà nước ngoài ngân sách do địa phương quản lý năm...</t>
  </si>
  <si>
    <t>Tổng hợp thu dịch vụ của đơn vị sự nghiệp công năm.... (không bao gồm nguồn ngân sách nhà nước)</t>
  </si>
  <si>
    <t>Phụ lục</t>
  </si>
  <si>
    <t>Từ nguồn vay để trả nợ gốc</t>
  </si>
  <si>
    <t>HỆ THỐNG BIỂU MẪU KÈM THEO NGHỊ ĐỊNH SỐ 31/2017/NĐ-CP
NGÀY 23/3/2017 CỦA CHÍNH PHỦ</t>
  </si>
  <si>
    <t>Biểu mẫu</t>
  </si>
  <si>
    <t>CQ báo cáo và nhận báo cáo</t>
  </si>
  <si>
    <t>Dùng cho Cục Thống kê báo cáo Sở Tài chính</t>
  </si>
  <si>
    <t>Dùng cho các đơn vị và UBND cấp dưới báo cáo cơ quan kế hoạch và đầu tư, cơ quan tài chính và UBND cấp trên</t>
  </si>
  <si>
    <t>Ước thựchiện năm N-1</t>
  </si>
  <si>
    <t>Dùng cho UBND cấp dưới báo cáo cơ quan tài chính và UBND cấp trên</t>
  </si>
  <si>
    <t>Dùng cho Sở Tài chính báo cáo UBND thành phố</t>
  </si>
  <si>
    <t>Dùng cho Cục Thuế gửi số liệu cho Sở Tài chính báo cáo UBND thành phố</t>
  </si>
  <si>
    <t>Dùng cho cơ quan thuế, cơ quan tài chính và cơ quan kế hoạch và đầu tư cấp dưới báo cáo UBND cùng cấp; UBND cấp dưới báo cáo cơ quan tài chính và UBND cấp trên</t>
  </si>
  <si>
    <t>Cơ quan tài chính, cơ quan kế hoạch và đầu tư báo cáo UBND cùng cấp</t>
  </si>
  <si>
    <t>Các cơ quan, đơn vị quản lý quỹ cung cấp số liệu cho cơ quan tài chính, UBND cấp dưới báo cáo cơ quan tài chính, UBND cấp trên</t>
  </si>
  <si>
    <t>Cơ quan tài chính, UBND cấp dưới báo cáo cơ quan tài chính, UBND cấp trên</t>
  </si>
  <si>
    <t>Dùng cho cơ quan kế hoạch và đầu tư báo cáo cơ quan tài chính, UBND cùng cấp; UBND cấp dưới gửi số liệu cho cơ quan kế hoạch và đầu tư, cơ quan tài chính cấp trên báo cáo UBND cấp trên</t>
  </si>
  <si>
    <t>Dùng cho Chi cục Thuế gửi Cục Thuế, Sở Tài chính báo cáo UBND thành phố</t>
  </si>
  <si>
    <t>Các cơ quan, đơn vị, địa phương cung cấp số liệu cho Sở Tài chính báo cáo UBND thành phố</t>
  </si>
  <si>
    <t>Cơ quan quản lý Quỹ các cấp cung cấp số liệu cho Sở Tài chính báo cáo UBND thành phố</t>
  </si>
  <si>
    <t>UBND các quận, huyện cung cấp số liệu cho Sở Tài chính báo cáo UBND thành phố</t>
  </si>
  <si>
    <t>Dùng cho Cục Thuế cung cấp số liệu cho Sở Tài chính báo cáo UBND thành phố</t>
  </si>
  <si>
    <t>Dùng cho cơ quan thuế và cơ quan tài chính cấp dưới báo cáo UBND cùng cấp; UBND cấp dưới cung cấp số liệu cho cơ quan tài chính cấp trên báo cáo UBND cấp trên</t>
  </si>
  <si>
    <t>Dùng cho cơ quan tài chính, cơ quan kế hoạch và đầu tư cấp dưới báo cáo UBND cùng cấp; UBND cấp dưới cung cấp số liệu cho cơ quan tài chính, cơ quan kế hoạch và đầu tư cấp trên báo cáo UBND cấp trên</t>
  </si>
  <si>
    <t>Các cơ quan, đơn vị cung cấp số liệu cho cơ quan tài chính báo cáo UBND cùng cấp; UBND cấp dưới cung cấp số liệu cho cơ quan tài chính cấp trên báo cáo UBND cấp trên</t>
  </si>
  <si>
    <t>Các cơ quan, đơn vị cấp dưới báo cáo UBND cùng cấp; UBND cấp dưới cung cấp số liệu cho cơ quan kế hoạch và đầu tư và cơ quan tài chính cấp trên báo cáo UBND cấp trên</t>
  </si>
  <si>
    <t>Các cơ quan, đơn vị cấp dưới báo cáo UBND cùng cấp; UBND cấp dưới cung cấp số liệu cho cơ quan tài chính cấp trên báo cáo UBND cấp trên</t>
  </si>
  <si>
    <t>UBND cấp dưới cung cấp số liệu cho cơ quan tài chính cấp trên báo cáo UBND cấp trên</t>
  </si>
  <si>
    <t>Cục Thuế cung cấp số liệu cho Sở Tài chính báo cáo UBND thành phố</t>
  </si>
  <si>
    <t>UBND cấp dưới cung cấp số liệu cho cơ quan tài chính, cơ quan kế hoạch và đầu tư cấp trên báo cáo UBND cấp trên</t>
  </si>
  <si>
    <t>Các cơ quan, đơn vị, địa phương cung cấp số liệu cho Sở Kế hoạch và Đầu tư, Sở Tài chính báo cáo UBND thành phố</t>
  </si>
  <si>
    <t>Dự toán năm 2018</t>
  </si>
  <si>
    <t>Ước thực hiện năm 2018</t>
  </si>
  <si>
    <r>
      <t xml:space="preserve">Dự toán năm 2018 </t>
    </r>
    <r>
      <rPr>
        <sz val="12"/>
        <color rgb="FF000000"/>
        <rFont val="Times New Roman"/>
        <family val="1"/>
      </rPr>
      <t>(hiện hành)</t>
    </r>
  </si>
  <si>
    <r>
      <t xml:space="preserve">Ước thực hiện năm 2018 </t>
    </r>
    <r>
      <rPr>
        <sz val="12"/>
        <color rgb="FF000000"/>
        <rFont val="Times New Roman"/>
        <family val="1"/>
      </rPr>
      <t>(hiện hành)</t>
    </r>
  </si>
  <si>
    <t>Dự toán năm 2019</t>
  </si>
  <si>
    <t>Ban ngành huyện</t>
  </si>
  <si>
    <t xml:space="preserve">Tân Phước Hưng </t>
  </si>
  <si>
    <t>UBND thị trấn Cây Dương</t>
  </si>
  <si>
    <t>UBND thị trấn Kinh Cùng</t>
  </si>
  <si>
    <t xml:space="preserve">UBND xã Tân Bình </t>
  </si>
  <si>
    <t>UBND xã Thạnh Hòa</t>
  </si>
  <si>
    <t xml:space="preserve">UBND xã Long Thạnh </t>
  </si>
  <si>
    <t xml:space="preserve">UBND xã Tân Long </t>
  </si>
  <si>
    <t xml:space="preserve">UBND xã Phụng Hiệp </t>
  </si>
  <si>
    <t xml:space="preserve">UBND xã Hiệp Hưng </t>
  </si>
  <si>
    <t xml:space="preserve">UBND thị trấn Búng Tàu </t>
  </si>
  <si>
    <t xml:space="preserve">UBND xã Phương Phú </t>
  </si>
  <si>
    <t xml:space="preserve">UBND xã Phương Bình </t>
  </si>
  <si>
    <t xml:space="preserve">UBND xã Hòa An </t>
  </si>
  <si>
    <t xml:space="preserve">UBND xã Hòa Mỹ </t>
  </si>
  <si>
    <t>UBND xã Bình Thành</t>
  </si>
  <si>
    <t xml:space="preserve">Đội kiểm tra Chi cục thuế </t>
  </si>
  <si>
    <t>Công an huyện</t>
  </si>
  <si>
    <t>1. Thuế CTN ngoài quốc doanh</t>
  </si>
  <si>
    <t xml:space="preserve">2. Thuế thu nhập các nhân </t>
  </si>
  <si>
    <t xml:space="preserve">3. Thu tiền sử dụng đất </t>
  </si>
  <si>
    <t>6. Thu phạt ATGT</t>
  </si>
  <si>
    <t xml:space="preserve">7. Thu khác ngân sách </t>
  </si>
  <si>
    <t xml:space="preserve">I- Thu nội địa </t>
  </si>
  <si>
    <t>Phí môn bài</t>
  </si>
  <si>
    <t>Phí khác</t>
  </si>
  <si>
    <t>7=(8+9)</t>
  </si>
  <si>
    <t>2=(3+…7+10+11</t>
  </si>
  <si>
    <t>2=(3+…9)</t>
  </si>
  <si>
    <t>Tổng cộng 
phí lệ phí</t>
  </si>
  <si>
    <t xml:space="preserve">Lệ phí 
trước bạ </t>
  </si>
  <si>
    <t>Trợ cấp 
mục tiêu</t>
  </si>
  <si>
    <t>Trợ cấp
 cân đối</t>
  </si>
  <si>
    <t>Ngân sách cấp huyện</t>
  </si>
  <si>
    <t>Ngân sách xã</t>
  </si>
  <si>
    <t>KP thực hiện các chế độ chính sách</t>
  </si>
  <si>
    <t xml:space="preserve">II. Thu trợ cấp 
ngân sách </t>
  </si>
  <si>
    <t xml:space="preserve">Phí
lệ 
phí </t>
  </si>
  <si>
    <t xml:space="preserve">I- Thu
 nội địa </t>
  </si>
  <si>
    <t>IV. Thu chuyển
 nguồn từ 
năm trước
 chuyển sang</t>
  </si>
  <si>
    <t>V. Tổng chi
 cân đối 
NSĐP</t>
  </si>
  <si>
    <t>Dự toán
NĂM 2019</t>
  </si>
  <si>
    <t>Mã dự án</t>
  </si>
  <si>
    <t xml:space="preserve">TMĐT </t>
  </si>
  <si>
    <t>Huyện Phụng Hiệp</t>
  </si>
  <si>
    <t>1</t>
  </si>
  <si>
    <t>2</t>
  </si>
  <si>
    <t>3</t>
  </si>
  <si>
    <t>4</t>
  </si>
  <si>
    <t>5</t>
  </si>
  <si>
    <t>6</t>
  </si>
  <si>
    <t>7</t>
  </si>
  <si>
    <t>8</t>
  </si>
  <si>
    <t>9</t>
  </si>
  <si>
    <t>10</t>
  </si>
  <si>
    <t>11</t>
  </si>
  <si>
    <t>2017-2019</t>
  </si>
  <si>
    <t>2018-2020</t>
  </si>
  <si>
    <t>2019-2020</t>
  </si>
  <si>
    <t>Trường Tiểu học Long Thạnh 3</t>
  </si>
  <si>
    <t>4420/QĐ-UBND, 31/10/2018</t>
  </si>
  <si>
    <t>4415/QĐ-UBND, 31/10/2018</t>
  </si>
  <si>
    <t>Trường Tiểu học Thạnh Hòa 2</t>
  </si>
  <si>
    <t>4425/QĐ-UBND, 31/10/2018</t>
  </si>
  <si>
    <t>Trường Tiểu học Bình Thành</t>
  </si>
  <si>
    <t>4416/QĐ-UBND, 31/10/2018</t>
  </si>
  <si>
    <t>Trường Tiểu học Long Thạnh 1</t>
  </si>
  <si>
    <t>4419/QĐ-UBND, 31/10/2018</t>
  </si>
  <si>
    <t>Trường Tiểu học Phương Bình 1</t>
  </si>
  <si>
    <t>4422/QĐ-UBND, 31/10/2018</t>
  </si>
  <si>
    <t>Trường Tiểu học Tân Phước Hưng 2</t>
  </si>
  <si>
    <t>4424/QĐ-UBND, 31/10/2018</t>
  </si>
  <si>
    <t>Trường Tiểu học Tân Bình 4</t>
  </si>
  <si>
    <t>4423/QĐ-UBND, 31/10/2018</t>
  </si>
  <si>
    <t>Trường THCS Hòa Mỹ</t>
  </si>
  <si>
    <t>4426/QĐ-UBND, 31/10/2018</t>
  </si>
  <si>
    <t>Trường Tiểu học Mùa Xuân</t>
  </si>
  <si>
    <t>4421/QĐ-UBND, 31/10/2018</t>
  </si>
  <si>
    <t>Trường Tiểu học Hòa Mỹ 3</t>
  </si>
  <si>
    <t>4418/QĐ-UBND, 31/10/2018</t>
  </si>
  <si>
    <t xml:space="preserve">Trường Mẫu giáo Tân Phước Hưng, điểm Phó Đường, xã Tân Phước Hưng, huyện Phụng Hiệp; hạng mục: 02 phòng học, khu vệ sinh, nhà kho, hàng rào, sân chơi </t>
  </si>
  <si>
    <t xml:space="preserve">2322/UBND ngày 25/12/2017 </t>
  </si>
  <si>
    <t>Trường Tiểu học Phụng Hiệp, điểm Thắng Mỹ, xã Phụng Hiệp, huyện Phụng Hiệp; hạng mục: 03 phòng học, thiết bị</t>
  </si>
  <si>
    <t>Trường Tiểu học Thạnh Hòa 1, điểm ấp 3, xã Thạnh Hòa, huyện Phụng Hiệp; hạng mục: 03 phòng học, thiết bị</t>
  </si>
  <si>
    <t>Trường Tiểu học Thạnh Hòa 1, điểm ấp 3, xã Thạnh Hòa, huyện Phụng Hiệp; Hạng mục: 02 phòng học, thiết bị</t>
  </si>
  <si>
    <t>Trường Mẫu giáo Hòa Mỹ, điểm ấp 3, xã Hòa Mỹ, huyện Phụng Hiệp; hạng mục: 02 phòng học, sân chơi, hàng rào, thiết bị</t>
  </si>
  <si>
    <t xml:space="preserve"> 861/UBND ngày 16/5/2018 </t>
  </si>
  <si>
    <t>Lắp đặt đèn chiếu sáng trên Quốc lộ 1 và Quốc Lộ 61</t>
  </si>
  <si>
    <t>SỐ
TT</t>
  </si>
  <si>
    <t>CÁN BỘ - CNVC</t>
  </si>
  <si>
    <t xml:space="preserve">Ghi chú                                     </t>
  </si>
  <si>
    <t>Biên chế</t>
  </si>
  <si>
    <t xml:space="preserve">Hợp đồng </t>
  </si>
  <si>
    <t>Tổng trong định mức và hoạt động bổ sung</t>
  </si>
  <si>
    <t>Trong định mức</t>
  </si>
  <si>
    <t>Ngoài định mức</t>
  </si>
  <si>
    <t>Tổng cộng trong định mức</t>
  </si>
  <si>
    <t>Lương ngạch bậc, PC chức vụ</t>
  </si>
  <si>
    <t>Các khoản đóng góp</t>
  </si>
  <si>
    <t>Hoạt động</t>
  </si>
  <si>
    <t>TỔNG CHI</t>
  </si>
  <si>
    <t>SỰ NGHIỆP KINH TẾ</t>
  </si>
  <si>
    <t>Sự nghiệp thủy lợi phí</t>
  </si>
  <si>
    <t>SỰ NGHIỆP VĂN HÓA - XÃ HỘI</t>
  </si>
  <si>
    <t>Trung tâm Văn hóa - Thông tin - Thể thao</t>
  </si>
  <si>
    <t xml:space="preserve"> - Văn hóa </t>
  </si>
  <si>
    <t xml:space="preserve"> - Thông tin</t>
  </si>
  <si>
    <t xml:space="preserve"> - Thể dục thể thao</t>
  </si>
  <si>
    <t>Đài Truyền thanh</t>
  </si>
  <si>
    <t>Đảm bảo xã hội</t>
  </si>
  <si>
    <t>Sự nghiệp khoa học</t>
  </si>
  <si>
    <t>Sự nghiệp môi trường</t>
  </si>
  <si>
    <t>Sự nghiệp đào tạo dạy nghề</t>
  </si>
  <si>
    <t xml:space="preserve">                      + Trung tâm GDNN-GDTX</t>
  </si>
  <si>
    <t>QUẢN LÝ HÀNH CHÍNH</t>
  </si>
  <si>
    <t>*</t>
  </si>
  <si>
    <t>QUẢN LÝ NHÀ NƯỚC</t>
  </si>
  <si>
    <t>Văn phòng HĐND-UBND</t>
  </si>
  <si>
    <t>Phòng Kinh tế và Hạ tầng</t>
  </si>
  <si>
    <t>Phòng Tài nguyên Môi trường</t>
  </si>
  <si>
    <t>Phòng Nông nghiệp và PTNT</t>
  </si>
  <si>
    <t>Phòng Văn hóa Thông tin</t>
  </si>
  <si>
    <t>Thanh tra huyện</t>
  </si>
  <si>
    <t>Phòng Tư Pháp</t>
  </si>
  <si>
    <t>Phòng Tài chính Kế hoạch</t>
  </si>
  <si>
    <t>Phòng Lao động - TBXH</t>
  </si>
  <si>
    <t>Phòng Nội vụ</t>
  </si>
  <si>
    <t>Phòng Giáo dục và Đào tạo</t>
  </si>
  <si>
    <t>BCH Huyện Đoàn</t>
  </si>
  <si>
    <t>Hội Liên hiệp Phụ nữ</t>
  </si>
  <si>
    <t>Hội Nông Dân</t>
  </si>
  <si>
    <t>UB Mật trận Tổ quốc</t>
  </si>
  <si>
    <t>Hội Cựu chiến binh</t>
  </si>
  <si>
    <t>CÁC TỔ CHỨC XÃ HỘI</t>
  </si>
  <si>
    <t>Hội người Cao tuổi</t>
  </si>
  <si>
    <t>Hội Khuyến học</t>
  </si>
  <si>
    <t>Hội chữ Thập đỏ</t>
  </si>
  <si>
    <t>Hội Luật gia</t>
  </si>
  <si>
    <t>KINH PHÍ ĐẢNG</t>
  </si>
  <si>
    <t>Văn phòng Huyện ủy</t>
  </si>
  <si>
    <t>KHỐI AN NINH - QUỐC PHÒNG</t>
  </si>
  <si>
    <t>CHI KHÁC NGÂN SÁCH</t>
  </si>
  <si>
    <t xml:space="preserve">CHI KHEN THƯỞNG </t>
  </si>
  <si>
    <t>Sự nghiệp kinh tế</t>
  </si>
  <si>
    <t>Số 
TT</t>
  </si>
  <si>
    <t>Nội dung chi</t>
  </si>
  <si>
    <t>Tổng chi</t>
  </si>
  <si>
    <t>Phụ cấp công vụ 25%</t>
  </si>
  <si>
    <t>Cán bộ hưu</t>
  </si>
  <si>
    <t>Phụ cấp đại biểu HĐND</t>
  </si>
  <si>
    <t>Tổ bảo vệ dân phố</t>
  </si>
  <si>
    <t>Chi phụ cấp cấp ủy</t>
  </si>
  <si>
    <t xml:space="preserve"> * Định mức chi ngân sách xã, thị trấn nêu trên bao gồm tất cả các nhiệm vụ chi theo phân cấp của Luật Ngân sách Nhà nước và các chế độ chính sách của Nhà nước ban hành.  </t>
  </si>
  <si>
    <t xml:space="preserve"> * Hoạt động theo định mức trích 10% tạo nguồn cải cách tiền lương theo quy định.</t>
  </si>
  <si>
    <t xml:space="preserve">UBND xã Tân Phước Hưng </t>
  </si>
  <si>
    <t>Lĩnh vực giao thông</t>
  </si>
  <si>
    <t>Lĩnh vực văn hoá</t>
  </si>
  <si>
    <t>Trụ sở làm việc</t>
  </si>
  <si>
    <t>Lĩnh vực khác</t>
  </si>
  <si>
    <t>ĐÁNH GIÁ CÂN ĐỐI NGUỒN THU, CHI NGÂN SÁCH HUYỆN NĂM 2018</t>
  </si>
  <si>
    <t>Chi thuộc nhiệm vụ của ngân sách cấp huyện</t>
  </si>
  <si>
    <t xml:space="preserve">Ban ngành huyện </t>
  </si>
  <si>
    <t>S
T
T</t>
  </si>
  <si>
    <t>Tên đơn vị
(1)</t>
  </si>
  <si>
    <t>Tổng thu
ngân sách 
nhà nước
trên địa 
bàn</t>
  </si>
  <si>
    <t xml:space="preserve">Bao gồm </t>
  </si>
  <si>
    <t>2. Thu thuế 
sử sụng
đất phi
nông nghiệp</t>
  </si>
  <si>
    <t>3. Thuế thu 
nhập cá 
nhân</t>
  </si>
  <si>
    <t xml:space="preserve">4. Thu tiền
sử dụng 
đất </t>
  </si>
  <si>
    <t>5. Lệ phí 
trước bạ</t>
  </si>
  <si>
    <t>6. Phí lệ phí</t>
  </si>
  <si>
    <t>7. Thu 
khác
 ngân 
sách</t>
  </si>
  <si>
    <t>TỔNG SỐ (2)</t>
  </si>
  <si>
    <t>ĐVT: Triệu đồng</t>
  </si>
  <si>
    <t>Số TT</t>
  </si>
  <si>
    <t>Chỉ tiêu</t>
  </si>
  <si>
    <t>THU NGÂN SÁCH NHÀ NƯỚC TRÊN ĐỊA BÀN</t>
  </si>
  <si>
    <t>Thu thuế, phí, lệ phí</t>
  </si>
  <si>
    <t xml:space="preserve"> - Thuế công thương nghiệp ngoài quốc doanh</t>
  </si>
  <si>
    <t xml:space="preserve"> - Thuế thu nhập cá nhân</t>
  </si>
  <si>
    <t xml:space="preserve"> - Thu tiền sử dụng đất</t>
  </si>
  <si>
    <t xml:space="preserve"> - Lệ phí trước bạ</t>
  </si>
  <si>
    <t xml:space="preserve"> - Phí - lệ phí</t>
  </si>
  <si>
    <t>Thu phạt an toàn giao thông</t>
  </si>
  <si>
    <t>Thu trợ cấp</t>
  </si>
  <si>
    <t xml:space="preserve">Trợ cấp cân đối </t>
  </si>
  <si>
    <t>THU NGÂN SÁCH ĐỊA PHƯƠNG</t>
  </si>
  <si>
    <t xml:space="preserve">Thu cân đối ngân sách </t>
  </si>
  <si>
    <t xml:space="preserve">   - Thu điều tiết</t>
  </si>
  <si>
    <t xml:space="preserve">   - Thu trợ cấp </t>
  </si>
  <si>
    <t>CHI NGÂN SÁCH ĐỊA PHƯƠNG</t>
  </si>
  <si>
    <t>Chi ngân sách huyện</t>
  </si>
  <si>
    <t>- Chi từ nguồn vốn CTMTQG</t>
  </si>
  <si>
    <t xml:space="preserve">  + Chương trình mục tiêu quốc gia giảm nghèo bền vững</t>
  </si>
  <si>
    <t xml:space="preserve">  + Chương trình mục tiêu quốc gia xây dựng NTM</t>
  </si>
  <si>
    <t xml:space="preserve"> - Sư nghiệp kinh tế</t>
  </si>
  <si>
    <t xml:space="preserve"> - Sự nghiệp môi trường</t>
  </si>
  <si>
    <t xml:space="preserve"> - Sư nghiệp giáo dục</t>
  </si>
  <si>
    <t xml:space="preserve"> - Sự nghiệp đào tạo và dạy nghề</t>
  </si>
  <si>
    <t xml:space="preserve"> - Chi Quản lý hành chính</t>
  </si>
  <si>
    <t xml:space="preserve">  + Nhà nước </t>
  </si>
  <si>
    <t xml:space="preserve">  + Đảng</t>
  </si>
  <si>
    <t xml:space="preserve">  + Đoàn thể và các tổ chức chính trị, xã hội khác</t>
  </si>
  <si>
    <t xml:space="preserve"> - Chi an ninh quốc phòng</t>
  </si>
  <si>
    <t>Chi mục tiêu</t>
  </si>
  <si>
    <t>*Các chế độ chính sách tính vào sự nghiệp giáo dục</t>
  </si>
  <si>
    <t xml:space="preserve"> - Kinh phí hỗ trợ tiền ăn trưa trẻ 3-5 tuổi</t>
  </si>
  <si>
    <t xml:space="preserve"> - Kinh phí hỗ trợ học bổng, chi phí học tập cho học sinh khuyết tật (TTLT 42)</t>
  </si>
  <si>
    <t xml:space="preserve"> - Kinh phí thực hiện NĐ 19 </t>
  </si>
  <si>
    <t>*Các chế độ chính sách tính vào đảm bảo xã hội</t>
  </si>
  <si>
    <t xml:space="preserve"> - Hỗ trợ chi phí học tập và miễn giảm học phí theo NĐ 86</t>
  </si>
  <si>
    <t>Tiết kiệm 10% chi cải cách tiền lương</t>
  </si>
  <si>
    <t>Chi khen thưởng</t>
  </si>
  <si>
    <t xml:space="preserve">Dự phòng ngân sách </t>
  </si>
  <si>
    <t>Chi ngân sách xã</t>
  </si>
  <si>
    <t xml:space="preserve">Chi thường xuyên </t>
  </si>
  <si>
    <t xml:space="preserve"> </t>
  </si>
  <si>
    <t>Sự nghiệp Văn hóa - Xã hội</t>
  </si>
  <si>
    <t>Sự nghiệp đào tạo - dạy nghề</t>
  </si>
  <si>
    <t>Chi sự nghiệp phát thanh</t>
  </si>
  <si>
    <t>Chi QLNN, đảng, đoàn thể</t>
  </si>
  <si>
    <t xml:space="preserve"> - Chi QLNN</t>
  </si>
  <si>
    <t xml:space="preserve"> - Chi công tác đảng</t>
  </si>
  <si>
    <t xml:space="preserve"> - Chi đoàn thể</t>
  </si>
  <si>
    <t xml:space="preserve"> - Chi các tổ chức xã hội</t>
  </si>
  <si>
    <t>Chi quốc phòng-an ninh</t>
  </si>
  <si>
    <t xml:space="preserve"> - Chi quốc phòng</t>
  </si>
  <si>
    <t xml:space="preserve"> - Chi an ninh</t>
  </si>
  <si>
    <t>Chi khác NS</t>
  </si>
  <si>
    <t>Chi dự phòng ngân sách</t>
  </si>
  <si>
    <t>VIII</t>
  </si>
  <si>
    <t>Chi dự phòng NS</t>
  </si>
  <si>
    <t>IX</t>
  </si>
  <si>
    <t>X</t>
  </si>
  <si>
    <t>Phụ lục I</t>
  </si>
  <si>
    <t xml:space="preserve">DANH MỤC ĐIỀU CHỈNH, BỔ SUNG KẾ HOẠCH VỐN ĐẦU TƯ CÔNG TRUNG HẠN 2016 - 2020 </t>
  </si>
  <si>
    <t>(Nguồn: Cân đối ngân sách địa phương)</t>
  </si>
  <si>
    <t>(Đính kèm Tờ trình số:             /TTr-UBND ngày            /                 /2018 của UBND huyện Phụng Hiệp)</t>
  </si>
  <si>
    <t>TT</t>
  </si>
  <si>
    <t>Địa điểm</t>
  </si>
  <si>
    <t>Năng lực</t>
  </si>
  <si>
    <t>Thời gian
 KC-HT</t>
  </si>
  <si>
    <t xml:space="preserve">Quyết định đầu tư </t>
  </si>
  <si>
    <t>Lũy kế vốn bố trí từ khởi công đến hết năm 2015</t>
  </si>
  <si>
    <t xml:space="preserve">Kế hoạch vốn đã bố trí các năm 2016, 2017, 2018 </t>
  </si>
  <si>
    <t>Kế hoạch trung hạn giai đoạn 2016 - 2020 đã giao</t>
  </si>
  <si>
    <t>Đề xuất, điều chỉnh kế hoạch trung hạn giai đoạn 2016 - 2020 vốn CĐNSĐP</t>
  </si>
  <si>
    <t>Kế hoạch trung hạn giai đoạn 2016 - 2020 sau điều chỉnh</t>
  </si>
  <si>
    <t>Ghi chú (nêu rõ nguyên nhân điều chỉnh)</t>
  </si>
  <si>
    <t>Số QĐ; ngày, tháng, năm ban hành</t>
  </si>
  <si>
    <t>Trong đó: Cân đối ngân sách</t>
  </si>
  <si>
    <t>Trong đó: Vốn CĐNSĐP</t>
  </si>
  <si>
    <t>Tăng</t>
  </si>
  <si>
    <t>Giảm</t>
  </si>
  <si>
    <t>TỔNG CỘNG</t>
  </si>
  <si>
    <t>1043/QĐ-UBND ngày 11/7/2018</t>
  </si>
  <si>
    <t>Kết luận của Bí thư tỉnh ủy; đã có chủ trương đầu tư tại quyết định số 1043/QĐ-UBND, 11/7/2018</t>
  </si>
  <si>
    <t>Trường Mẫu giáo Long Thạnh (điểm kênh bà chủ )</t>
  </si>
  <si>
    <t>Trường Mẫu giáo Long Thạnh, điểm Long Trường 3, xã Long Thạnh, huyện Phụng Hiệp; hạng mục: Cải tạo 04 phòng học cũ thành 02 phòng học mẫu giáo và 01 phòng chức năng</t>
  </si>
  <si>
    <t>1172/QĐ-UBND ngày 05/7/2017</t>
  </si>
  <si>
    <t>Trường Mẫu giáo Tân Long, điểm Long Phụng, xã Tân Long, huyện Phụng Hiệp; Hạng mục: 02 phòng học, sân chơi, hàng rào, đồ chơi ngoài trời.</t>
  </si>
  <si>
    <t>301/QĐ-SKHĐT ngày 11/12/2017</t>
  </si>
  <si>
    <t>Trường Mẫu giáo Tân Phước Hưng, điểm Thành Viên, xã Tân Phước Hưng, huyện Phụng Hiệp; Hạng mục: 02 phòng học, sân chơi, hàng rào, đồ chơi ngoài trời.</t>
  </si>
  <si>
    <t>302/QĐ-SKHĐT ngày 11/12/2017</t>
  </si>
  <si>
    <t>Trường Trung học cơ sở Hoà Mỹ, xã Hoà Mỹ, huyện Phụng Hiệp. Hạng mục: 04 phòng học, khu vệ sinh, hàng rào, sân chơi;</t>
  </si>
  <si>
    <t>304/QĐ-SKHĐT ngày 11/12/2017</t>
  </si>
  <si>
    <t>Trường Tiểu học Tân Phước Hưng 3, điểm Phó Đường, xã Tân Phước Hưng, huyện Phụng Hiệp. Hạng mục: 03 phòng học, sân chơi, khu vệ sinh, cổng trường, hàng rào, thiết bị;</t>
  </si>
  <si>
    <t>303/QĐ-SKHĐT ngày 11/12/2017</t>
  </si>
  <si>
    <t>Trường Mẫu giáo Hoà Mỹ, điểm ấp 4, xã Hoà Mỹ, huyện Phụng Hiệp. Hạng mục: 02 phòng học, sân chơi, thiết bị</t>
  </si>
  <si>
    <t>2016-2017</t>
  </si>
  <si>
    <t>1507/QĐ-UBND ngày 10/10/2016</t>
  </si>
  <si>
    <t>Trường tiểu học Tân Bình 2; Hạng mục: 03 phòng học, nhà vệ sinh</t>
  </si>
  <si>
    <t>967/QĐ-UBND ngày 16/7/2015</t>
  </si>
  <si>
    <t>Trường Mẫu giáo Hiệp Hưng, ấp Long Phụng, xã Hiệp Hưng, huyện Phụng Hiệp. Hạng mục: 02 phòng học, sân chơi, thiết bị</t>
  </si>
  <si>
    <t>1279/QĐ-UBND ngày 26/8/2016</t>
  </si>
  <si>
    <t>Phụ cấp kiêm nhiệm Chủ tịch, Trưởng, Phó các Ban của HĐND xã</t>
  </si>
  <si>
    <t xml:space="preserve">Chi hoạt động xây dựng các tiêu chí xã nông thôn mới, xã văn hóa, thị trấn văn minh đô thị </t>
  </si>
  <si>
    <t>HOẠT ĐỘNG QUẢN LÝ HÀNH CHÍNH</t>
  </si>
  <si>
    <t>CHI THƯỜNG XUYÊN</t>
  </si>
  <si>
    <t>LƯƠNG, PHỤ CẤP VÀ CÁC KHOẢN ĐÓNG GÓP</t>
  </si>
  <si>
    <t>DỰ PHÒNG NGÂN SÁCH (2%)</t>
  </si>
  <si>
    <t>SỐ ẤP</t>
  </si>
  <si>
    <t xml:space="preserve"> * LL không chuyên trách xã: BHXH 14%, BHYT 3%; Không chuyên trách ấp:  BHYT 3%</t>
  </si>
  <si>
    <t>Đội NVQLT Chi cục thuế</t>
  </si>
  <si>
    <t xml:space="preserve">5. Phí, lệ phí </t>
  </si>
  <si>
    <t>Tiết kiệm 10%</t>
  </si>
  <si>
    <t>SNGD</t>
  </si>
  <si>
    <t xml:space="preserve">hoạt động </t>
  </si>
  <si>
    <t>Tiết kiệm</t>
  </si>
  <si>
    <r>
      <t xml:space="preserve"> *</t>
    </r>
    <r>
      <rPr>
        <b/>
        <i/>
        <u/>
        <sz val="11"/>
        <rFont val="Times New Roman"/>
        <family val="1"/>
      </rPr>
      <t>Ghi chú:</t>
    </r>
    <r>
      <rPr>
        <b/>
        <i/>
        <sz val="11"/>
        <rFont val="Times New Roman"/>
        <family val="1"/>
      </rPr>
      <t xml:space="preserve"> </t>
    </r>
  </si>
  <si>
    <t xml:space="preserve"> - Chi khác ngân sách </t>
  </si>
  <si>
    <t>* Kinh phí BS có mục tiêu</t>
  </si>
  <si>
    <t xml:space="preserve">UBND Tân Phước Hưng </t>
  </si>
  <si>
    <t>1. Thu thuế CTN
 ngoài quốc 
doanh</t>
  </si>
  <si>
    <t>I - Thu nội 
địa (2)</t>
  </si>
  <si>
    <t>II - Thu
từ 
dầu 
thô
(3)</t>
  </si>
  <si>
    <t>III - Thu
từ 
hoạt
động
xuất 
nhập 
khẩu
(4)</t>
  </si>
  <si>
    <t xml:space="preserve"> - KP thực hiện CTMTQG </t>
  </si>
  <si>
    <t xml:space="preserve"> + Chương trình MTQG xây dựng NTM</t>
  </si>
  <si>
    <t xml:space="preserve"> + Chương trình MTQG giảm nghèo bền vững</t>
  </si>
  <si>
    <t xml:space="preserve"> - Kinh phí chúc thọ, mừng thọ</t>
  </si>
  <si>
    <t xml:space="preserve"> - Kinh phí trợ cấp ngày Thương binh Liệt sỹ 27/7</t>
  </si>
  <si>
    <t xml:space="preserve"> - Kinh phí hỗ trợ GV hợp đồng </t>
  </si>
  <si>
    <t>Chương trình mục tiêu quốc gia NTM 2020</t>
  </si>
  <si>
    <t>Chương trình mục tiêu quốc gia giảm nghèo bền vững 2020</t>
  </si>
  <si>
    <t>(Kèm theo Tờ trình số          /TTr-TCKH ngày        tháng       năm 2019 của Phòng TCKH huyện Phụng Hiệp)</t>
  </si>
  <si>
    <t>Dự toán năm 2020</t>
  </si>
  <si>
    <t>DỰ TOÁN CHI NGÂN SÁCH ĐỊA PHƯƠNG THEO CƠ CẤU CHI NĂM 2020</t>
  </si>
  <si>
    <t xml:space="preserve"> - Kinh phí thực hiện NĐ 76 ngày 08/10/2019</t>
  </si>
  <si>
    <t>Phụ lục số 01</t>
  </si>
  <si>
    <t>Phụ lục số 02</t>
  </si>
  <si>
    <t>Phụ lục số 03</t>
  </si>
  <si>
    <t>Phụ lục số 04</t>
  </si>
  <si>
    <t>Phụ lục số 05</t>
  </si>
  <si>
    <t>Phụ lục số 06</t>
  </si>
  <si>
    <t>Cán bộ, công chức</t>
  </si>
  <si>
    <t>Không chuyên trách xã (BHXH, BHYT: 17%)</t>
  </si>
  <si>
    <t>Không chuyên trách ấp (BHYT 3%)</t>
  </si>
  <si>
    <t>BHXH, BHYT, KPCĐ (CB,CC: 22,5%)</t>
  </si>
  <si>
    <t>Phụ cấp đặc thù (CHP va Trung đội Trưởng DQCĐ)</t>
  </si>
  <si>
    <t>Chi hoạt động Ban Thanh tra nhân dân</t>
  </si>
  <si>
    <t>KP cuộc vận động Toàn dân đoàn kết xây dựng NTM, đô thị VM</t>
  </si>
  <si>
    <t>TT Cây Dương (2)</t>
  </si>
  <si>
    <t>TT 
Kinh Cùng (2)</t>
  </si>
  <si>
    <t>Tân Bình (1)</t>
  </si>
  <si>
    <t>Thạnh Hoà (1)</t>
  </si>
  <si>
    <t>Long Thạnh (1)</t>
  </si>
  <si>
    <t>Tân Long (2)</t>
  </si>
  <si>
    <t xml:space="preserve">Phụng Hiệp (1) </t>
  </si>
  <si>
    <t>Hiệp Hưng (1)</t>
  </si>
  <si>
    <t>TT Búng Tàu (2)</t>
  </si>
  <si>
    <t>Tân Phước Hưng (1)</t>
  </si>
  <si>
    <t>Phương Phú (1)</t>
  </si>
  <si>
    <t>Phương Bình (1)</t>
  </si>
  <si>
    <t>Hòa An (1)</t>
  </si>
  <si>
    <t>Hoà Mỹ (1)</t>
  </si>
  <si>
    <t>Bình Thành (1)</t>
  </si>
  <si>
    <t>KP hỗ trợ sản xuất đất trồng lúa theo Nghị định số 62/2019/NĐ-CP và 35/2015/NĐ-CP</t>
  </si>
  <si>
    <t xml:space="preserve">                      + Học phí (kinh phí đào tạo)</t>
  </si>
  <si>
    <t>PC công vụ, PC khối đảng, PC ngành, PC khác</t>
  </si>
  <si>
    <t>- Chi đảm bảo xã hội</t>
  </si>
  <si>
    <t xml:space="preserve"> - Quỹ thác qua NHCSXH huyện</t>
  </si>
  <si>
    <t>(Kèm theo Tờ trình số          /TTr-PTCKH ngày        tháng       năm 2020 của Phòng TCKH huyện Phụng Hiệp)</t>
  </si>
  <si>
    <t>ĐÁNH GIÁ THỰC HIỆN THU NGÂN SÁCH NHÀ NƯỚC TRÊN ĐỊA BÀN HUYỆN NĂM 2020</t>
  </si>
  <si>
    <t>Dự toán năm 2020</t>
  </si>
  <si>
    <t>Ước thực hiện năm 2020</t>
  </si>
  <si>
    <t>ĐÁNH GIÁ THỰC HIỆN THU NGÂN SÁCH NHÀ NƯỚC TRÊN ĐỊA BÀN HUYỆN THEO LĨNH VỰC NĂM 2020</t>
  </si>
  <si>
    <t>(Kèm theo Tờ trình số       /TTr-PTCKH ngày        tháng 12 năm 2020 của PTCKH  huyện Phụng Hiệp)</t>
  </si>
  <si>
    <t xml:space="preserve">Sự nghiệp kinh tế </t>
  </si>
  <si>
    <t>Đào tạo 2,543</t>
  </si>
  <si>
    <t>Chi quản lý bảo trì đường bộ</t>
  </si>
  <si>
    <t>(Kèm theo Tờ trình số           /TTr-PTCKH ngày        tháng 12 năm 2020 của PTCKH  huyện Phụng Hiệp)</t>
  </si>
  <si>
    <t>CHI ỦY THÁC, HỖ TRỢ  TỪ NS HUYỆN</t>
  </si>
  <si>
    <t xml:space="preserve"> - Chi quỹ hỗ trợ nông dân</t>
  </si>
  <si>
    <t>(Kèm theo Tờ trình số           /TTr-UBND ngày        tháng 12 năm 2020 của UBND  huyện Phụng Hiệp)</t>
  </si>
  <si>
    <t>(Kèm theo Tờ trình số       /TTr-UBND ngày        tháng 12 năm 2020 của UBND huyện Phụng Hiệp)</t>
  </si>
  <si>
    <t>(Kèm theo Tờ trình số          /TTr-UBND ngày        tháng       năm 2020 của UBND huyện Phụng Hiệp)</t>
  </si>
  <si>
    <t>DỰ TOÁN CHI NGÂN SÁCH ĐỊA PHƯƠNG, CHI NGÂN SÁCH CẤP HUYỆN VÀ CHI NGÂN SÁCH XÃ THEO CƠ CẤU CHI NĂM 2021</t>
  </si>
  <si>
    <t>DỰ TOÁN CHI THƯỜNG XUYÊN CỦA NGÂN SÁCH CẤP HUYỆN CHO TỪNG CƠ QUAN, TỔ CHỨC THEO LĨNH VỰC NĂM 2022</t>
  </si>
  <si>
    <t>DỰ TOÁN CHI CHƯƠNG TRÌNH MỤC TIÊU QUỐC GIA NGÂN SÁCH CẤP HUYỆN NĂM 2022</t>
  </si>
  <si>
    <t>Lê phí trước bạ
xe, tàu, thuyền</t>
  </si>
  <si>
    <t xml:space="preserve"> Thuế trước 
bạ nhà đất</t>
  </si>
  <si>
    <t xml:space="preserve">
4. Lệ phí trước bạ.
Trong đó
</t>
  </si>
  <si>
    <t xml:space="preserve"> Lệ phí trước
 bạ nhà đất</t>
  </si>
  <si>
    <t xml:space="preserve"> - Kinh phí thực hiện chế độ trợ cấp xã hội hàng tháng cho các đối tượng bảo trợ xã hội theo quy định Nghị định số 20/2021/NĐ-CP của Chính phủ về chính sách trợ giúp các đối tượng bảo trợ xã hội</t>
  </si>
  <si>
    <t xml:space="preserve">- Kinh phí quản lý, bảo trì bộ </t>
  </si>
  <si>
    <t xml:space="preserve">Kinh phí thực hiện các chế độ chính sách </t>
  </si>
  <si>
    <t xml:space="preserve">KP  bổ sung có mục tiêu </t>
  </si>
  <si>
    <t xml:space="preserve">- Chi từ nguồn cân đối ngân sách </t>
  </si>
  <si>
    <t>- Chi tư nguồn tăng thu tiền SDĐ</t>
  </si>
  <si>
    <t>- Chi từ nguồn XSKT</t>
  </si>
  <si>
    <t>TIẾT KIỆM 10% HOẠT ĐỘNG TẠO NGUỒN CCTL</t>
  </si>
  <si>
    <t>12</t>
  </si>
  <si>
    <t>Kinh phí Ban công tác mặt trận ở khu dân cư thực hiện cuộc vận động và các phong trào phát động ở địa phương</t>
  </si>
  <si>
    <t>Kinh phí đảm bảo an ninh trật tự</t>
  </si>
  <si>
    <t>- Truyền thanh</t>
  </si>
  <si>
    <t>Tªn ®¬n vÞ</t>
  </si>
  <si>
    <t>4=5+12</t>
  </si>
  <si>
    <t>5=6+…+10</t>
  </si>
  <si>
    <t>- Kinh phí TW bổ sung có mục tiêu</t>
  </si>
  <si>
    <t xml:space="preserve"> - Sự nghiệp Văn hoá thông tin-thể dục thể thao và truyền thanh </t>
  </si>
  <si>
    <t xml:space="preserve">  + Kinh phí đảm bảo an ninh trật tự</t>
  </si>
  <si>
    <t>- Kinh phí thực hiện theo nghị quyết số 10/2022/NQ-HĐND</t>
  </si>
  <si>
    <t xml:space="preserve"> - Kinh trợ cấp tết cho đối tượng chính sách, người có công, BTXH, hộ nghèo</t>
  </si>
  <si>
    <t>Kinh phí chúc thọ, mừng thọ</t>
  </si>
  <si>
    <t>- Kinh phí in ấn đặc san xuân 2023</t>
  </si>
  <si>
    <t>Hoạt động đặc thù Thường trực Huyện uỷ</t>
  </si>
  <si>
    <t>Hoạt động đặc thù UBKT Huyện uỷ</t>
  </si>
  <si>
    <t>Hoạt động đặc thù Ban Tuyên Giáo Huyện uỷ</t>
  </si>
  <si>
    <t>Hoạt động đặc thù Ban Dân vận Huyện uỷ</t>
  </si>
  <si>
    <t>Hoạt động đặc thù Ban Tổ chức Huyện uỷ</t>
  </si>
  <si>
    <t>Hoạt động đặc thù các Ban xây dựng đảng</t>
  </si>
  <si>
    <t>**</t>
  </si>
  <si>
    <t>***</t>
  </si>
  <si>
    <t>****</t>
  </si>
  <si>
    <t>DỰ TOÁN THU NGÂN SÁCH NHÀ NƯỚC TRÊN ĐỊA BÀN TỪNG ĐƠN VỊ XÃ, THỊ TRẤN THEO LĨNH VỰC NĂM 2024</t>
  </si>
  <si>
    <t>DỰ TOÁN THU, CHI NGÂN SÁCH ĐỊA PHƯƠNG VÀ BỔ SUNG CÂN ĐỐI TỪ NGÂN SÁCH CẤP TRÊN CHO NGÂN SÁCH CẤP DƯỚI NĂM 2024</t>
  </si>
  <si>
    <t>Bổ sung để thực hiện điều chỉnh lương cơ sở 1.490.000 lên 1.800.000 đồng/tháng</t>
  </si>
  <si>
    <t xml:space="preserve">- Kinh phí mua bảo hiểm y tế cho các đối tượng bảo trợ </t>
  </si>
  <si>
    <t xml:space="preserve">- Kinh phí giáo viên tăng thêm </t>
  </si>
  <si>
    <t>Chi theo Đề án số 01/ĐA-UBND (Nghị quyết số 01/2023)</t>
  </si>
  <si>
    <t>Các chi hội ấp (HS 0,5/người; 05 chi hội/ấp)</t>
  </si>
  <si>
    <t>Phụ cấp LL Dân quân tự vệ ở xã, thị trấn (BHYT: 3%)</t>
  </si>
  <si>
    <t>Phụ cấp LL Công an viên bán chuyên trách ở xã, TT (BHYT: 3%)</t>
  </si>
  <si>
    <t>13</t>
  </si>
  <si>
    <t>14</t>
  </si>
  <si>
    <t>KP tiền ăn LL Dân quân tự vệ, Công an viên bán chuyên trách</t>
  </si>
  <si>
    <t>DỰ TOÁN CHI NGÂN SÁCH  XÃ, THỊ TRẤN NĂM 2024</t>
  </si>
  <si>
    <t>TÊN ĐƠN VỊ</t>
  </si>
  <si>
    <t>Tổng
 số 
lớp</t>
  </si>
  <si>
    <t>DỰ TOÁN NĂM 2024</t>
  </si>
  <si>
    <t>Hợp đồng</t>
  </si>
  <si>
    <t>PCTNVK, PCTN nhà giáo, PCUĐ, PC trách nhiệm</t>
  </si>
  <si>
    <t>Mẫu giáo</t>
  </si>
  <si>
    <t>01</t>
  </si>
  <si>
    <t>Trường MG Sơn Ca</t>
  </si>
  <si>
    <t>02</t>
  </si>
  <si>
    <t>Trường MG Tân Bình 1</t>
  </si>
  <si>
    <t>03</t>
  </si>
  <si>
    <t>Trường MG Tân Bình 2</t>
  </si>
  <si>
    <t>04</t>
  </si>
  <si>
    <t>Trường MG Tân Long</t>
  </si>
  <si>
    <t>05</t>
  </si>
  <si>
    <t>Trường MG Long Thạnh</t>
  </si>
  <si>
    <t>06</t>
  </si>
  <si>
    <t>Trường MG Thạnh Hòa</t>
  </si>
  <si>
    <t>07</t>
  </si>
  <si>
    <t>Trường MG Khu căn cứ tỉnh Ủy Cần Thơ</t>
  </si>
  <si>
    <t>08</t>
  </si>
  <si>
    <t>Trường MG Phương Phú</t>
  </si>
  <si>
    <t>09</t>
  </si>
  <si>
    <t>Trường MG Cây Dương</t>
  </si>
  <si>
    <t>Trường MG Hòa Mỹ</t>
  </si>
  <si>
    <t>Trường MG Hoa Hồng</t>
  </si>
  <si>
    <t>Trường MG Phụng Hiệp</t>
  </si>
  <si>
    <t>Trường MG Hòa An</t>
  </si>
  <si>
    <t>Trường MG Hương Sen</t>
  </si>
  <si>
    <t>15</t>
  </si>
  <si>
    <t>Trường MG Hiệp Hưng</t>
  </si>
  <si>
    <t>16</t>
  </si>
  <si>
    <t>Trường MG Tân Phước Hưng</t>
  </si>
  <si>
    <t>17</t>
  </si>
  <si>
    <t>Trường MG Bình Thành</t>
  </si>
  <si>
    <t>Tiểu học</t>
  </si>
  <si>
    <t>18</t>
  </si>
  <si>
    <t>Trường TH Mùa Xuân</t>
  </si>
  <si>
    <t>19</t>
  </si>
  <si>
    <t>Trường TH Tân Long 1</t>
  </si>
  <si>
    <t>20</t>
  </si>
  <si>
    <t>Trường TH Tân Long 2</t>
  </si>
  <si>
    <t>21</t>
  </si>
  <si>
    <t>Trường TH Long Thạnh 1</t>
  </si>
  <si>
    <t>22</t>
  </si>
  <si>
    <t>Trường TH Long Thạnh 2</t>
  </si>
  <si>
    <t>23</t>
  </si>
  <si>
    <t>Trường TH Long Thạnh 3</t>
  </si>
  <si>
    <t>24</t>
  </si>
  <si>
    <t>Trường TH Thạnh Hòa 1</t>
  </si>
  <si>
    <t>25</t>
  </si>
  <si>
    <t>Trường TH Thạnh Hòa 2</t>
  </si>
  <si>
    <t>26</t>
  </si>
  <si>
    <t>Trường TH Thạnh Hòa 3</t>
  </si>
  <si>
    <t>27</t>
  </si>
  <si>
    <t>Trường TH Tân Bình 1</t>
  </si>
  <si>
    <t>28</t>
  </si>
  <si>
    <t>Trường TH Tân Bình 2</t>
  </si>
  <si>
    <t>29</t>
  </si>
  <si>
    <t>Trường TH Tân Bình 3</t>
  </si>
  <si>
    <t>30</t>
  </si>
  <si>
    <t>Trường TH Tân Bình 4</t>
  </si>
  <si>
    <t>31</t>
  </si>
  <si>
    <t>Trường TH Bình Thành</t>
  </si>
  <si>
    <t>32</t>
  </si>
  <si>
    <t>Trường TH Thị trấn Kinh Cùng</t>
  </si>
  <si>
    <t>33</t>
  </si>
  <si>
    <t>Trường TH Kim Đồng</t>
  </si>
  <si>
    <t>34</t>
  </si>
  <si>
    <t>Trường TH Hòa An 1</t>
  </si>
  <si>
    <t>35</t>
  </si>
  <si>
    <t>Trường TH Hòa An 2</t>
  </si>
  <si>
    <t>36</t>
  </si>
  <si>
    <t>Trường TH Hòa An 3</t>
  </si>
  <si>
    <t>37</t>
  </si>
  <si>
    <t>Trường TH Phụng Hiệp</t>
  </si>
  <si>
    <t>38</t>
  </si>
  <si>
    <t>Trường TH Hiệp Hưng 1</t>
  </si>
  <si>
    <t>39</t>
  </si>
  <si>
    <t>Trường TH Hiệp Hưng 2</t>
  </si>
  <si>
    <t>40</t>
  </si>
  <si>
    <t>Trường TH Cây Dương 1</t>
  </si>
  <si>
    <t>41</t>
  </si>
  <si>
    <t>Trường TH Cây Dương 2</t>
  </si>
  <si>
    <t>42</t>
  </si>
  <si>
    <t>Trường TH Hòa Mỹ 1</t>
  </si>
  <si>
    <t>43</t>
  </si>
  <si>
    <t>Trường TH Hòa Mỹ 2</t>
  </si>
  <si>
    <t>44</t>
  </si>
  <si>
    <t>Trường TH Hòa Mỹ 3</t>
  </si>
  <si>
    <t>45</t>
  </si>
  <si>
    <t>Trường TH Phương Bình 1</t>
  </si>
  <si>
    <t>46</t>
  </si>
  <si>
    <t>Trường TH Phương Bình 2</t>
  </si>
  <si>
    <t>47</t>
  </si>
  <si>
    <t>Trường TH Búng Tàu</t>
  </si>
  <si>
    <t>48</t>
  </si>
  <si>
    <t xml:space="preserve">Trường TH Tân Phước Hưng </t>
  </si>
  <si>
    <t>49</t>
  </si>
  <si>
    <t>Trường TH và THCS Phương Ninh</t>
  </si>
  <si>
    <t>50</t>
  </si>
  <si>
    <t>Trường TH Phương Phú 1</t>
  </si>
  <si>
    <t>51</t>
  </si>
  <si>
    <t>Trường TH Phương Phú 2</t>
  </si>
  <si>
    <t>Trung học cơ sở</t>
  </si>
  <si>
    <t>52</t>
  </si>
  <si>
    <t>53</t>
  </si>
  <si>
    <t>Trường THCS Bình Thành</t>
  </si>
  <si>
    <t>54</t>
  </si>
  <si>
    <t>Trường THCS Búng Tàu</t>
  </si>
  <si>
    <t>55</t>
  </si>
  <si>
    <t>Trường THCS Hiệp Hưng</t>
  </si>
  <si>
    <t>56</t>
  </si>
  <si>
    <t>57</t>
  </si>
  <si>
    <t>Trường THCS Hưng Điền</t>
  </si>
  <si>
    <t>58</t>
  </si>
  <si>
    <t>Trường THCS Kinh Cùng</t>
  </si>
  <si>
    <t>59</t>
  </si>
  <si>
    <t>Trường THCS Long Thạnh</t>
  </si>
  <si>
    <t>60</t>
  </si>
  <si>
    <t>Trường THCS Phương Phú</t>
  </si>
  <si>
    <t>61</t>
  </si>
  <si>
    <t>Trường THCS Tân Bình</t>
  </si>
  <si>
    <t>62</t>
  </si>
  <si>
    <t>Trường THCS Tân Long</t>
  </si>
  <si>
    <t>63</t>
  </si>
  <si>
    <t>Trường THCS Tây Đô</t>
  </si>
  <si>
    <t>64</t>
  </si>
  <si>
    <t>Trường THCS Thạnh Hòa</t>
  </si>
  <si>
    <t xml:space="preserve">                      + Trung tâm Chính trị</t>
  </si>
  <si>
    <t>KHỐI UBMTTQ VÀ CÁC ĐOÀN THỂ</t>
  </si>
  <si>
    <t>Hội Người mù - CĐDC - KT&amp;BVQTE</t>
  </si>
  <si>
    <t xml:space="preserve"> - Lương và hoạt động Khối đảng </t>
  </si>
  <si>
    <t>KP hỗ 
trợ tết</t>
  </si>
  <si>
    <t>Kiến thiết thị chính</t>
  </si>
  <si>
    <t>* Hoạt động đặc thù Văn phòng HĐND-UBND</t>
  </si>
  <si>
    <t>* Hoạt động đặc thù Thường trực HĐND</t>
  </si>
  <si>
    <t>Hội đông y</t>
  </si>
  <si>
    <t xml:space="preserve"> - Các nhiệm vụ chi đặc thù khác VPHU</t>
  </si>
  <si>
    <t>BCH Quân sự (KP thực hiện đề án 02)</t>
  </si>
  <si>
    <t xml:space="preserve"> - Hỗ trợ các cơ quan trung ương đóng trên địa bàn</t>
  </si>
  <si>
    <t xml:space="preserve"> - Hỗ trợ cộng tác viên dân số </t>
  </si>
  <si>
    <t xml:space="preserve"> - Lương cơ sở 1.800.000 đồng. </t>
  </si>
  <si>
    <t>KP CÁC TRƯỜNG TRỰC THUỘC</t>
  </si>
  <si>
    <t>KP hoạt động chuyên môn</t>
  </si>
  <si>
    <t>Mua sắm trang thiết bị phục vụ thay sách</t>
  </si>
  <si>
    <t>KP hóa chất xử lý mối</t>
  </si>
  <si>
    <t>KP trang phục thể dục, thể thao</t>
  </si>
  <si>
    <t>KP SNGD có tính chất XDCB</t>
  </si>
  <si>
    <t>KP khen thưởng</t>
  </si>
  <si>
    <t>KP ĐẶC THÙ CỦA NGÀNH</t>
  </si>
  <si>
    <t>KP lương HD theo NQ 21</t>
  </si>
  <si>
    <t>Miễn giảm HP theo ND 86/2015/NĐ-CP</t>
  </si>
  <si>
    <t>Tiền ăn trẻ em 3-5 tuổi</t>
  </si>
  <si>
    <t>HT khuyết tật theo TT 42</t>
  </si>
  <si>
    <t>TIẾT KIỆM 10% CCTL</t>
  </si>
  <si>
    <t>CÁC CHẾ ĐỘ CHÍNH SÁCH</t>
  </si>
  <si>
    <t>Công an huyện (KP đảm bảo an ninh trật tự)</t>
  </si>
  <si>
    <t>- Chi ủy thác và chi hỗ trợ các cơ quan trung ương</t>
  </si>
  <si>
    <t>Cộng tác viên xã hội (NQ số 10/NQ-HĐND tỉnh)</t>
  </si>
  <si>
    <t>Kinh phí hỗ trợ sử dụng sản phẩm, dịch vụ công ích</t>
  </si>
  <si>
    <t>KP bảo trì phần mềm và chuyển đổi số</t>
  </si>
  <si>
    <t>(Kèm theo Tờ trình số        /TTr-PTCKH ngày     tháng 11 năm 2023 của Phòng Tài chính Kế hoạch huyện Phụng Hiệp)</t>
  </si>
  <si>
    <t xml:space="preserve"> * Lương cơ sở 1.800.000 đồng. </t>
  </si>
  <si>
    <t>III. BS kinh phí cải cách tiền lương từ 1,49 lên 1,8 triệu đồng</t>
  </si>
  <si>
    <t>Hoạt động theo định mức lớp</t>
  </si>
  <si>
    <t>60% thu học phí</t>
  </si>
  <si>
    <t>Hoạt động ngân sách bổ sung</t>
  </si>
  <si>
    <t xml:space="preserve">BS các nhiệm vụ phát sinh </t>
  </si>
  <si>
    <t>KP giao biên chế chờ BS</t>
  </si>
  <si>
    <t>Dự toán
năm 2024</t>
  </si>
  <si>
    <t>4. Lệ phí trước bạ.
Trong đó</t>
  </si>
  <si>
    <t>Hội cựu giáo chức</t>
  </si>
  <si>
    <t>DỰ TOÁN CHI THƯỜNG XUYÊN NĂM 2024, KHỐI SỰ NGHIỆP GIÁO DỤC</t>
  </si>
  <si>
    <t>Tỉnh giao</t>
  </si>
  <si>
    <t>CCTL</t>
  </si>
  <si>
    <t>TS</t>
  </si>
  <si>
    <t>LƯƠNG</t>
  </si>
  <si>
    <t>KP tính TK</t>
  </si>
  <si>
    <t>10% tk</t>
  </si>
  <si>
    <t>HĐ CL</t>
  </si>
  <si>
    <t>HĐ 3 cấp học</t>
  </si>
  <si>
    <t>tru 3 cap hoc</t>
  </si>
  <si>
    <t>ngoài định mưc</t>
  </si>
  <si>
    <t>Ghi chú: BS ngoài định mức</t>
  </si>
  <si>
    <t>- KP tăng lương TX và đột xuất</t>
  </si>
  <si>
    <t>- Hỗ trợ ngày 20/11</t>
  </si>
  <si>
    <t>- Kiêm nhiệm thủ quỹ</t>
  </si>
  <si>
    <t>- Phụ cấp GV mầm non dạy bán trú</t>
  </si>
  <si>
    <t>- Phụ cấp kiêm nhiệm CNTT</t>
  </si>
  <si>
    <t>HỖ TRỢ CÁC CHÍNH SÁCH, AN NINH TRẬT TỰ</t>
  </si>
  <si>
    <t>Hỗ trợ tổ chuyển đổi số (2 trđồng/ấp/năm)</t>
  </si>
  <si>
    <t>11 đơn vị loại 1</t>
  </si>
  <si>
    <t>4 đơn vị loại 2</t>
  </si>
  <si>
    <t xml:space="preserve">  + Kinh phí thực hiện đề án 01</t>
  </si>
  <si>
    <t>- Kinh phí ứng dụng công nghệ thông tin và duy trì hoạt động ứng dụng công nghệ thông tin đã thực hiện</t>
  </si>
  <si>
    <t xml:space="preserve"> - Sự nghiệp ứng dụng khoa học</t>
  </si>
  <si>
    <t>Chi hoạt động quản lý HC 650 triệu /xã, tt/năm</t>
  </si>
  <si>
    <t>Chi hoạt động 100tr/ấp/năm</t>
  </si>
  <si>
    <t>BS thêm đơn vị Cấp xã: 4 ấp 30 trđ/ấp; 5 ấp 24 trđ/ấp;
 6 ấp 20 trđ/ấp, 8 ấp 15 trđ/ấp</t>
  </si>
  <si>
    <t>13=11-12</t>
  </si>
  <si>
    <t>6=7+8+9+10+13</t>
  </si>
  <si>
    <t>5=6+15</t>
  </si>
  <si>
    <t>Kinh phí hỗ trợ hàng tháng cho các chức danh Đội trưởng, Đội phó đội dân phòng (NQ số 32/2022/NQ-HĐND tỉnh)</t>
  </si>
  <si>
    <t>CÂN ĐỐI NGÂN SÁCH HUYỆN, XÃ, THỊ TRẤN NĂM 2024</t>
  </si>
  <si>
    <t xml:space="preserve"> - Kinh phí trợ cấp tết cho đối tượng CB, CC, VC người lao động</t>
  </si>
  <si>
    <t xml:space="preserve"> - Kinh phí hỗ trợ cai nghiện ma túy tự nguyện</t>
  </si>
  <si>
    <t>- Kinh phí hỗ trợ trực ANQP</t>
  </si>
  <si>
    <t>- Kinh phí hỗ trợ trực an ninh</t>
  </si>
  <si>
    <t xml:space="preserve"> - Kinh phí hỗ trợ tiền điện hộ nghèo</t>
  </si>
  <si>
    <t>- Kinh phí chuyển đổi số theo Nghị quyết số 02-NQ/TU ngày 02/12/2020</t>
  </si>
  <si>
    <t>Kinh phí trợ cấp tết cán bộ, công chức, người lao động</t>
  </si>
  <si>
    <t>(Dự toán trình Hội đồng nhân dân huyện)</t>
  </si>
  <si>
    <t>Kinh phí hoạt động công tác Đảng</t>
  </si>
  <si>
    <t xml:space="preserve"> - Các khoản đóng góp cán bộ, công chức 22,5%.</t>
  </si>
  <si>
    <t xml:space="preserve"> - Các khoản đóng góp viên chức, hợp đồng 23,5%.</t>
  </si>
  <si>
    <t>DỰ TOÁN CHI THƯỜNG XUYÊN NĂM 2024 CÁC CƠ QUAN, ĐƠN VỊ HÀNH CHÍNH SỰ NGHIỆP</t>
  </si>
  <si>
    <t>(Kèm theo Báo cáo số: 431/BC-UBND ngày 29 tháng 12 năm 2023 của UBND huyện Phụng Hiệp)</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</si>
</sst>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_-* #,##0.00\ _₫_-;\-* #,##0.00\ _₫_-;_-* &quot;-&quot;??\ _₫_-;_-@_-"/>
    <numFmt numFmtId="166" formatCode="_-* #,##0\ _₫_-;\-* #,##0\ _₫_-;_-* &quot;-&quot;??\ _₫_-;_-@_-"/>
    <numFmt numFmtId="167" formatCode="_(* #,##0_);_(* \(#,##0\);_(* &quot;-&quot;??_);_(@_)"/>
    <numFmt numFmtId="168" formatCode="#,##0;[Red]#,##0"/>
    <numFmt numFmtId="169" formatCode="#,##0.0;[Red]#,##0.0"/>
    <numFmt numFmtId="170" formatCode="_-* #,##0\ _s_u_'_m_-;\-* #,##0\ _s_u_'_m_-;_-* &quot;-&quot;??\ _s_u_'_m_-;_-@_-"/>
    <numFmt numFmtId="171" formatCode="_(* #,##0_);_(* \(#,##0\);_(* \-??_);_(@_)"/>
    <numFmt numFmtId="172" formatCode="\$#,##0\ ;\(\$#,##0\)"/>
    <numFmt numFmtId="173" formatCode="_-* #,##0_-;\-* #,##0_-;_-* &quot;-&quot;??_-;_-@_-"/>
  </numFmts>
  <fonts count="79" x14ac:knownFonts="1">
    <font>
      <sz val="11"/>
      <color theme="1"/>
      <name val="Calibri"/>
      <family val="2"/>
      <charset val="163"/>
      <scheme val="minor"/>
    </font>
    <font>
      <b/>
      <sz val="10"/>
      <name val="Times New Roman"/>
      <family val="1"/>
    </font>
    <font>
      <sz val="11"/>
      <name val="Times New Roman"/>
      <family val="1"/>
    </font>
    <font>
      <b/>
      <sz val="14"/>
      <name val="Times New Roman"/>
      <family val="1"/>
    </font>
    <font>
      <sz val="14"/>
      <name val="Times New Roman"/>
      <family val="1"/>
    </font>
    <font>
      <b/>
      <sz val="11"/>
      <name val="Times New Roman"/>
      <family val="1"/>
    </font>
    <font>
      <i/>
      <sz val="11"/>
      <name val="Times New Roman"/>
      <family val="1"/>
    </font>
    <font>
      <sz val="11"/>
      <color theme="1"/>
      <name val="Times New Roman"/>
      <family val="1"/>
    </font>
    <font>
      <b/>
      <sz val="11"/>
      <color rgb="FF0D68B1"/>
      <name val="Times New Roman"/>
      <family val="1"/>
    </font>
    <font>
      <b/>
      <sz val="11"/>
      <color rgb="FF333333"/>
      <name val="Times New Roman"/>
      <family val="1"/>
    </font>
    <font>
      <i/>
      <sz val="11"/>
      <color rgb="FF333333"/>
      <name val="Times New Roman"/>
      <family val="1"/>
    </font>
    <font>
      <sz val="11"/>
      <color rgb="FF333333"/>
      <name val="Times New Roman"/>
      <family val="1"/>
    </font>
    <font>
      <b/>
      <sz val="14"/>
      <color rgb="FF0D68B1"/>
      <name val="Times New Roman"/>
      <family val="1"/>
    </font>
    <font>
      <b/>
      <i/>
      <sz val="11"/>
      <name val="Times New Roman"/>
      <family val="1"/>
    </font>
    <font>
      <b/>
      <i/>
      <sz val="11"/>
      <color rgb="FF333333"/>
      <name val="Times New Roman"/>
      <family val="1"/>
    </font>
    <font>
      <b/>
      <sz val="12"/>
      <color rgb="FF000000"/>
      <name val="Times New Roman"/>
      <family val="1"/>
    </font>
    <font>
      <i/>
      <sz val="12"/>
      <color rgb="FF000000"/>
      <name val="Times New Roman"/>
      <family val="1"/>
    </font>
    <font>
      <sz val="12"/>
      <color rgb="FF000000"/>
      <name val="Times New Roman"/>
      <family val="1"/>
    </font>
    <font>
      <b/>
      <i/>
      <sz val="12"/>
      <color rgb="FF000000"/>
      <name val="Times New Roman"/>
      <family val="1"/>
    </font>
    <font>
      <b/>
      <sz val="14"/>
      <color rgb="FF000000"/>
      <name val="Times New Roman"/>
      <family val="1"/>
    </font>
    <font>
      <sz val="10"/>
      <color rgb="FF000000"/>
      <name val="Times New Roman"/>
      <family val="1"/>
    </font>
    <font>
      <sz val="10"/>
      <color theme="1"/>
      <name val="Calibri"/>
      <family val="2"/>
      <charset val="163"/>
      <scheme val="minor"/>
    </font>
    <font>
      <b/>
      <sz val="12"/>
      <name val="Times New Roman"/>
      <family val="1"/>
    </font>
    <font>
      <i/>
      <sz val="12"/>
      <name val="Times New Roman"/>
      <family val="1"/>
    </font>
    <font>
      <sz val="12"/>
      <name val="Times New Roman"/>
      <family val="1"/>
    </font>
    <font>
      <b/>
      <i/>
      <sz val="12"/>
      <name val="Times New Roman"/>
      <family val="1"/>
    </font>
    <font>
      <u/>
      <sz val="11"/>
      <color theme="10"/>
      <name val="Calibri"/>
      <family val="2"/>
      <charset val="163"/>
      <scheme val="minor"/>
    </font>
    <font>
      <u/>
      <sz val="12"/>
      <color theme="10"/>
      <name val="Times New Roman"/>
      <family val="1"/>
    </font>
    <font>
      <sz val="12"/>
      <color theme="1"/>
      <name val="Times New Roman"/>
      <family val="1"/>
    </font>
    <font>
      <b/>
      <sz val="11"/>
      <color theme="1"/>
      <name val="Calibri"/>
      <family val="2"/>
      <charset val="163"/>
      <scheme val="minor"/>
    </font>
    <font>
      <sz val="11"/>
      <color theme="1"/>
      <name val="Calibri"/>
      <family val="2"/>
      <charset val="163"/>
      <scheme val="minor"/>
    </font>
    <font>
      <sz val="12"/>
      <color theme="1"/>
      <name val="Calibri"/>
      <family val="2"/>
      <charset val="163"/>
      <scheme val="minor"/>
    </font>
    <font>
      <i/>
      <sz val="11"/>
      <color theme="1"/>
      <name val="Calibri"/>
      <family val="2"/>
      <charset val="163"/>
      <scheme val="minor"/>
    </font>
    <font>
      <b/>
      <sz val="11"/>
      <color theme="1"/>
      <name val="Times New Roman"/>
      <family val="1"/>
    </font>
    <font>
      <b/>
      <sz val="12"/>
      <color theme="1"/>
      <name val="Times New Roman"/>
      <family val="1"/>
    </font>
    <font>
      <sz val="10"/>
      <name val="Arial"/>
      <family val="2"/>
    </font>
    <font>
      <sz val="11"/>
      <color indexed="8"/>
      <name val="Calibri"/>
      <family val="2"/>
    </font>
    <font>
      <sz val="13"/>
      <name val="VNI-Times"/>
    </font>
    <font>
      <sz val="11"/>
      <color theme="1"/>
      <name val="Calibri"/>
      <family val="2"/>
      <scheme val="minor"/>
    </font>
    <font>
      <b/>
      <sz val="9"/>
      <color indexed="81"/>
      <name val="Tahoma"/>
      <family val="2"/>
    </font>
    <font>
      <sz val="9"/>
      <color indexed="81"/>
      <name val="Tahoma"/>
      <family val="2"/>
    </font>
    <font>
      <i/>
      <sz val="10"/>
      <name val="Times New Roman"/>
      <family val="1"/>
    </font>
    <font>
      <sz val="13"/>
      <name val="Times New Roman"/>
      <family val="1"/>
    </font>
    <font>
      <b/>
      <sz val="13"/>
      <name val="Times New Roman"/>
      <family val="1"/>
    </font>
    <font>
      <i/>
      <sz val="11"/>
      <color rgb="FFFF0000"/>
      <name val="Times New Roman"/>
      <family val="1"/>
    </font>
    <font>
      <b/>
      <i/>
      <u/>
      <sz val="11"/>
      <name val="Times New Roman"/>
      <family val="1"/>
    </font>
    <font>
      <u/>
      <sz val="11"/>
      <name val="Times New Roman"/>
      <family val="1"/>
    </font>
    <font>
      <b/>
      <u/>
      <sz val="12"/>
      <name val="Times New Roman"/>
      <family val="1"/>
    </font>
    <font>
      <sz val="10"/>
      <name val="Times New Roman"/>
      <family val="1"/>
    </font>
    <font>
      <i/>
      <sz val="13"/>
      <color rgb="FFFF0000"/>
      <name val="Times New Roman"/>
      <family val="1"/>
    </font>
    <font>
      <b/>
      <sz val="12"/>
      <name val=".VnTime"/>
      <family val="2"/>
    </font>
    <font>
      <i/>
      <sz val="11"/>
      <color rgb="FF000000"/>
      <name val="Times New Roman"/>
      <family val="1"/>
    </font>
    <font>
      <i/>
      <sz val="11"/>
      <color theme="1"/>
      <name val="Times New Roman"/>
      <family val="1"/>
    </font>
    <font>
      <sz val="11"/>
      <color rgb="FF0070C0"/>
      <name val="Times New Roman"/>
      <family val="1"/>
    </font>
    <font>
      <b/>
      <sz val="11"/>
      <color rgb="FF0070C0"/>
      <name val="Times New Roman"/>
      <family val="1"/>
    </font>
    <font>
      <sz val="11"/>
      <color rgb="FF00B0F0"/>
      <name val="Times New Roman"/>
      <family val="1"/>
    </font>
    <font>
      <b/>
      <sz val="11"/>
      <color rgb="FFFF0000"/>
      <name val="Times New Roman"/>
      <family val="1"/>
    </font>
    <font>
      <sz val="11"/>
      <color rgb="FFFF0000"/>
      <name val="Times New Roman"/>
      <family val="1"/>
    </font>
    <font>
      <b/>
      <i/>
      <sz val="11"/>
      <color rgb="FF00B0F0"/>
      <name val="Times New Roman"/>
      <family val="1"/>
    </font>
    <font>
      <b/>
      <sz val="11"/>
      <color rgb="FF00B0F0"/>
      <name val="Times New Roman"/>
      <family val="1"/>
    </font>
    <font>
      <sz val="12"/>
      <color indexed="8"/>
      <name val="Times New Roman"/>
      <family val="1"/>
    </font>
    <font>
      <b/>
      <sz val="12"/>
      <color indexed="8"/>
      <name val="Times New Roman"/>
      <family val="1"/>
    </font>
    <font>
      <i/>
      <sz val="12"/>
      <color indexed="8"/>
      <name val="Times New Roman"/>
      <family val="1"/>
    </font>
    <font>
      <b/>
      <sz val="11"/>
      <name val="Times New Roman"/>
      <family val="1"/>
      <charset val="163"/>
    </font>
    <font>
      <i/>
      <sz val="9"/>
      <color indexed="8"/>
      <name val="Times New Roman"/>
      <family val="1"/>
    </font>
    <font>
      <b/>
      <sz val="12"/>
      <color rgb="FFFF0000"/>
      <name val="Times New Roman"/>
      <family val="1"/>
    </font>
    <font>
      <b/>
      <i/>
      <sz val="12"/>
      <color indexed="8"/>
      <name val="Times New Roman"/>
      <family val="1"/>
    </font>
    <font>
      <b/>
      <sz val="13"/>
      <color indexed="8"/>
      <name val="Times New Roman"/>
      <family val="1"/>
    </font>
    <font>
      <sz val="13"/>
      <color indexed="8"/>
      <name val="Times New Roman"/>
      <family val="1"/>
    </font>
    <font>
      <sz val="13"/>
      <color theme="1"/>
      <name val="Times New Roman"/>
      <family val="1"/>
    </font>
    <font>
      <b/>
      <sz val="13"/>
      <color theme="1"/>
      <name val="Times New Roman"/>
      <family val="1"/>
    </font>
    <font>
      <sz val="9"/>
      <name val="Times New Roman"/>
      <family val="1"/>
    </font>
    <font>
      <b/>
      <sz val="13"/>
      <color theme="0"/>
      <name val="Times New Roman"/>
      <family val="1"/>
    </font>
    <font>
      <sz val="13"/>
      <color theme="0"/>
      <name val="Times New Roman"/>
      <family val="1"/>
    </font>
    <font>
      <b/>
      <sz val="14"/>
      <color indexed="8"/>
      <name val="Times New Roman"/>
      <family val="1"/>
    </font>
    <font>
      <sz val="12"/>
      <color theme="0"/>
      <name val="Times New Roman"/>
      <family val="1"/>
    </font>
    <font>
      <i/>
      <sz val="9"/>
      <color theme="0"/>
      <name val="Times New Roman"/>
      <family val="1"/>
    </font>
    <font>
      <b/>
      <sz val="12"/>
      <color theme="0"/>
      <name val="Times New Roman"/>
      <family val="1"/>
    </font>
    <font>
      <i/>
      <sz val="14"/>
      <name val="Times New Roman"/>
      <family val="1"/>
    </font>
  </fonts>
  <fills count="6">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style="dotted">
        <color indexed="64"/>
      </bottom>
      <diagonal/>
    </border>
  </borders>
  <cellStyleXfs count="22">
    <xf numFmtId="0" fontId="0" fillId="0" borderId="0"/>
    <xf numFmtId="0" fontId="26" fillId="0" borderId="0" applyNumberFormat="0" applyFill="0" applyBorder="0" applyAlignment="0" applyProtection="0"/>
    <xf numFmtId="165" fontId="30" fillId="0" borderId="0" applyFont="0" applyFill="0" applyBorder="0" applyAlignment="0" applyProtection="0"/>
    <xf numFmtId="0" fontId="35" fillId="0" borderId="0"/>
    <xf numFmtId="170" fontId="36" fillId="0" borderId="0" applyFont="0" applyFill="0" applyBorder="0" applyAlignment="0" applyProtection="0"/>
    <xf numFmtId="164" fontId="36" fillId="0" borderId="0" applyFont="0" applyFill="0" applyBorder="0" applyAlignment="0" applyProtection="0"/>
    <xf numFmtId="165" fontId="36" fillId="0" borderId="0" applyFont="0" applyFill="0" applyBorder="0" applyAlignment="0" applyProtection="0"/>
    <xf numFmtId="0" fontId="35" fillId="0" borderId="0"/>
    <xf numFmtId="170" fontId="36" fillId="0" borderId="0" applyFont="0" applyFill="0" applyBorder="0" applyAlignment="0" applyProtection="0"/>
    <xf numFmtId="0" fontId="37" fillId="0" borderId="0"/>
    <xf numFmtId="0" fontId="38" fillId="0" borderId="0"/>
    <xf numFmtId="0" fontId="36" fillId="0" borderId="0"/>
    <xf numFmtId="0" fontId="24" fillId="0" borderId="0"/>
    <xf numFmtId="170" fontId="24" fillId="0" borderId="0" applyFont="0" applyFill="0" applyBorder="0" applyAlignment="0" applyProtection="0"/>
    <xf numFmtId="172" fontId="36" fillId="0" borderId="0" applyFont="0" applyFill="0" applyBorder="0" applyAlignment="0" applyProtection="0"/>
    <xf numFmtId="164" fontId="36" fillId="0" borderId="0" applyFont="0" applyFill="0" applyBorder="0" applyAlignment="0" applyProtection="0"/>
    <xf numFmtId="164" fontId="36" fillId="0" borderId="0" applyFont="0" applyFill="0" applyBorder="0" applyAlignment="0" applyProtection="0"/>
    <xf numFmtId="0" fontId="38" fillId="0" borderId="0"/>
    <xf numFmtId="164" fontId="35" fillId="0" borderId="0" applyFon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0" fontId="38" fillId="0" borderId="0"/>
  </cellStyleXfs>
  <cellXfs count="549">
    <xf numFmtId="0" fontId="0" fillId="0" borderId="0" xfId="0"/>
    <xf numFmtId="0" fontId="2" fillId="0" borderId="0" xfId="0" applyFont="1" applyAlignme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6" fillId="2" borderId="1" xfId="0" applyFont="1" applyFill="1" applyBorder="1" applyAlignment="1">
      <alignment vertical="center" wrapText="1"/>
    </xf>
    <xf numFmtId="0" fontId="6" fillId="0" borderId="0" xfId="0" applyFont="1" applyAlignment="1">
      <alignment vertical="center"/>
    </xf>
    <xf numFmtId="0" fontId="7"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0" fillId="0" borderId="0" xfId="0" applyFont="1" applyAlignment="1">
      <alignment vertical="center"/>
    </xf>
    <xf numFmtId="0" fontId="5" fillId="2" borderId="1" xfId="0" applyFont="1" applyFill="1" applyBorder="1" applyAlignment="1">
      <alignment vertical="center" wrapText="1"/>
    </xf>
    <xf numFmtId="0" fontId="13" fillId="0" borderId="0" xfId="0" applyFont="1" applyAlignment="1">
      <alignment vertical="center"/>
    </xf>
    <xf numFmtId="0" fontId="2" fillId="0" borderId="0" xfId="0" applyFont="1" applyAlignment="1">
      <alignment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vertical="center" wrapText="1"/>
    </xf>
    <xf numFmtId="0" fontId="2" fillId="0" borderId="1" xfId="0" applyFont="1" applyBorder="1" applyAlignment="1">
      <alignment vertical="center" wrapText="1"/>
    </xf>
    <xf numFmtId="0" fontId="13" fillId="0" borderId="0" xfId="0" applyFont="1"/>
    <xf numFmtId="0" fontId="6" fillId="2" borderId="1" xfId="0" applyFont="1" applyFill="1" applyBorder="1" applyAlignment="1">
      <alignment horizontal="center" vertical="center" wrapText="1"/>
    </xf>
    <xf numFmtId="0" fontId="14" fillId="0" borderId="0" xfId="0" applyFont="1" applyAlignment="1">
      <alignment vertical="center"/>
    </xf>
    <xf numFmtId="0" fontId="7" fillId="0" borderId="0" xfId="0" applyFont="1" applyAlignment="1">
      <alignment vertical="center" wrapText="1"/>
    </xf>
    <xf numFmtId="0" fontId="15" fillId="0" borderId="0" xfId="0" applyFont="1" applyAlignment="1">
      <alignment horizontal="right" vertical="center"/>
    </xf>
    <xf numFmtId="0" fontId="16" fillId="0" borderId="0" xfId="0" applyFont="1" applyAlignment="1">
      <alignment horizontal="right" vertical="center"/>
    </xf>
    <xf numFmtId="0" fontId="18" fillId="0" borderId="0" xfId="0" applyFont="1" applyAlignment="1">
      <alignment horizontal="left" vertical="center"/>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7" fillId="0" borderId="1" xfId="0" applyFont="1" applyBorder="1" applyAlignment="1">
      <alignment vertical="center" wrapText="1"/>
    </xf>
    <xf numFmtId="0" fontId="16" fillId="0" borderId="1" xfId="0" applyFont="1" applyBorder="1" applyAlignment="1">
      <alignment vertical="center" wrapText="1"/>
    </xf>
    <xf numFmtId="0" fontId="16" fillId="0" borderId="0" xfId="0" applyFont="1" applyAlignment="1">
      <alignment horizontal="left" vertical="center"/>
    </xf>
    <xf numFmtId="0" fontId="18" fillId="0" borderId="0" xfId="0" applyFont="1" applyAlignment="1">
      <alignment vertical="center"/>
    </xf>
    <xf numFmtId="0" fontId="17" fillId="0" borderId="0" xfId="0" applyFont="1" applyAlignment="1">
      <alignment vertical="center"/>
    </xf>
    <xf numFmtId="0" fontId="0" fillId="0" borderId="0" xfId="0" applyAlignment="1">
      <alignment wrapText="1"/>
    </xf>
    <xf numFmtId="0" fontId="0" fillId="0" borderId="1" xfId="0" applyBorder="1" applyAlignment="1">
      <alignment vertical="top" wrapText="1"/>
    </xf>
    <xf numFmtId="0" fontId="20" fillId="0" borderId="1" xfId="0" applyFont="1" applyBorder="1" applyAlignment="1">
      <alignment horizontal="center" vertical="center" wrapText="1"/>
    </xf>
    <xf numFmtId="0" fontId="21" fillId="0" borderId="0" xfId="0" applyFont="1"/>
    <xf numFmtId="0" fontId="0" fillId="0" borderId="0" xfId="0" applyAlignment="1">
      <alignment horizontal="left"/>
    </xf>
    <xf numFmtId="0" fontId="17" fillId="0" borderId="1" xfId="0" applyFont="1" applyBorder="1" applyAlignment="1">
      <alignment vertical="center"/>
    </xf>
    <xf numFmtId="0" fontId="23" fillId="0" borderId="0" xfId="0" applyFont="1" applyAlignment="1">
      <alignment horizontal="right" vertical="center"/>
    </xf>
    <xf numFmtId="0" fontId="2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2" fillId="0" borderId="0" xfId="0" applyFont="1" applyAlignment="1">
      <alignment horizontal="right" vertical="center"/>
    </xf>
    <xf numFmtId="0" fontId="17" fillId="0" borderId="0" xfId="0" applyFont="1" applyAlignment="1">
      <alignment horizontal="justify" vertical="center"/>
    </xf>
    <xf numFmtId="0" fontId="17" fillId="0" borderId="1" xfId="0" applyFont="1" applyBorder="1" applyAlignment="1">
      <alignment horizontal="right" vertical="center" wrapText="1"/>
    </xf>
    <xf numFmtId="0" fontId="15" fillId="3" borderId="1" xfId="0" applyFont="1" applyFill="1" applyBorder="1" applyAlignment="1">
      <alignment vertical="center" wrapText="1"/>
    </xf>
    <xf numFmtId="0" fontId="0" fillId="0" borderId="0" xfId="0" applyAlignment="1">
      <alignment vertical="center"/>
    </xf>
    <xf numFmtId="0" fontId="27" fillId="0" borderId="1" xfId="1" applyFont="1" applyBorder="1" applyAlignment="1">
      <alignment vertical="center" wrapText="1"/>
    </xf>
    <xf numFmtId="0" fontId="28" fillId="0" borderId="0" xfId="0" applyFont="1" applyAlignment="1">
      <alignment vertical="center"/>
    </xf>
    <xf numFmtId="0" fontId="2" fillId="2" borderId="1" xfId="0" applyFont="1" applyFill="1" applyBorder="1" applyAlignment="1">
      <alignment horizontal="right" vertical="center" wrapText="1"/>
    </xf>
    <xf numFmtId="0" fontId="2" fillId="2" borderId="3" xfId="0" applyFont="1" applyFill="1" applyBorder="1" applyAlignment="1">
      <alignment vertical="center" wrapText="1"/>
    </xf>
    <xf numFmtId="0" fontId="5" fillId="2" borderId="1" xfId="0" applyFont="1" applyFill="1" applyBorder="1" applyAlignment="1">
      <alignment horizontal="right" vertical="center" wrapText="1"/>
    </xf>
    <xf numFmtId="0" fontId="0" fillId="0" borderId="0" xfId="0" applyAlignment="1">
      <alignment vertical="center" wrapText="1"/>
    </xf>
    <xf numFmtId="0" fontId="15" fillId="0" borderId="1" xfId="0" applyFont="1" applyBorder="1" applyAlignment="1">
      <alignment horizontal="right" vertical="center" wrapText="1"/>
    </xf>
    <xf numFmtId="0" fontId="29" fillId="0" borderId="0" xfId="0" applyFont="1" applyAlignment="1">
      <alignment vertical="center"/>
    </xf>
    <xf numFmtId="0" fontId="31" fillId="0" borderId="0" xfId="0" applyFont="1"/>
    <xf numFmtId="0" fontId="24" fillId="0" borderId="1" xfId="0" applyFont="1" applyBorder="1"/>
    <xf numFmtId="0" fontId="15" fillId="0" borderId="6" xfId="0" applyFont="1" applyBorder="1" applyAlignment="1">
      <alignment horizontal="center" vertical="center" wrapText="1"/>
    </xf>
    <xf numFmtId="0" fontId="32" fillId="0" borderId="0" xfId="0" applyFont="1"/>
    <xf numFmtId="166" fontId="17" fillId="0" borderId="1" xfId="2" applyNumberFormat="1" applyFont="1" applyBorder="1" applyAlignment="1">
      <alignment horizontal="center" vertical="center" wrapText="1"/>
    </xf>
    <xf numFmtId="166" fontId="15" fillId="0" borderId="1" xfId="2" applyNumberFormat="1" applyFont="1" applyBorder="1" applyAlignment="1">
      <alignment horizontal="center" vertical="center" wrapText="1"/>
    </xf>
    <xf numFmtId="166" fontId="0" fillId="0" borderId="0" xfId="0" applyNumberFormat="1"/>
    <xf numFmtId="167" fontId="5" fillId="2" borderId="1" xfId="2" applyNumberFormat="1" applyFont="1" applyFill="1" applyBorder="1" applyAlignment="1">
      <alignment vertical="center" wrapText="1"/>
    </xf>
    <xf numFmtId="164" fontId="5" fillId="2" borderId="1" xfId="2" applyNumberFormat="1" applyFont="1" applyFill="1" applyBorder="1" applyAlignment="1">
      <alignment vertical="center" wrapText="1"/>
    </xf>
    <xf numFmtId="167" fontId="2" fillId="2" borderId="1" xfId="2" applyNumberFormat="1" applyFont="1" applyFill="1" applyBorder="1" applyAlignment="1">
      <alignment vertical="center" wrapText="1"/>
    </xf>
    <xf numFmtId="164" fontId="2" fillId="2" borderId="1" xfId="2" applyNumberFormat="1" applyFont="1" applyFill="1" applyBorder="1" applyAlignment="1">
      <alignment vertical="center" wrapText="1"/>
    </xf>
    <xf numFmtId="167" fontId="6" fillId="2" borderId="1" xfId="2" applyNumberFormat="1" applyFont="1" applyFill="1" applyBorder="1" applyAlignment="1">
      <alignment vertical="center" wrapText="1"/>
    </xf>
    <xf numFmtId="164" fontId="6" fillId="2" borderId="1" xfId="2" applyNumberFormat="1" applyFont="1" applyFill="1" applyBorder="1" applyAlignment="1">
      <alignment vertical="center" wrapText="1"/>
    </xf>
    <xf numFmtId="0" fontId="24" fillId="0" borderId="15" xfId="0" applyFont="1" applyBorder="1"/>
    <xf numFmtId="0" fontId="28" fillId="0" borderId="15" xfId="0" applyFont="1" applyBorder="1"/>
    <xf numFmtId="0" fontId="6" fillId="0" borderId="0" xfId="0" applyFont="1" applyAlignment="1">
      <alignment horizontal="center" vertical="center" wrapText="1"/>
    </xf>
    <xf numFmtId="166" fontId="2" fillId="2" borderId="1" xfId="2" applyNumberFormat="1" applyFont="1" applyFill="1" applyBorder="1" applyAlignment="1">
      <alignment horizontal="center" vertical="center" wrapText="1"/>
    </xf>
    <xf numFmtId="166" fontId="2" fillId="2" borderId="1" xfId="2" applyNumberFormat="1" applyFont="1" applyFill="1" applyBorder="1" applyAlignment="1">
      <alignment vertical="center" wrapText="1"/>
    </xf>
    <xf numFmtId="166" fontId="2" fillId="0" borderId="0" xfId="0" applyNumberFormat="1" applyFont="1" applyAlignment="1">
      <alignment vertical="center"/>
    </xf>
    <xf numFmtId="166" fontId="5" fillId="2" borderId="1" xfId="0" applyNumberFormat="1" applyFont="1" applyFill="1" applyBorder="1" applyAlignment="1">
      <alignment vertical="center" wrapText="1"/>
    </xf>
    <xf numFmtId="0" fontId="3" fillId="0" borderId="0" xfId="0" applyFont="1" applyAlignment="1">
      <alignment vertical="center" wrapText="1"/>
    </xf>
    <xf numFmtId="0" fontId="5" fillId="0" borderId="0" xfId="0" applyFont="1" applyAlignment="1">
      <alignment vertical="center" wrapText="1"/>
    </xf>
    <xf numFmtId="0" fontId="2" fillId="0" borderId="0" xfId="0" applyFont="1"/>
    <xf numFmtId="0" fontId="17" fillId="0" borderId="1" xfId="0" quotePrefix="1" applyFont="1" applyBorder="1" applyAlignment="1">
      <alignment horizontal="center" vertical="center" wrapText="1"/>
    </xf>
    <xf numFmtId="0" fontId="29" fillId="0" borderId="0" xfId="0" applyFont="1"/>
    <xf numFmtId="0" fontId="15" fillId="0" borderId="14" xfId="0" applyFont="1" applyBorder="1" applyAlignment="1">
      <alignment horizontal="center" vertical="center" wrapText="1"/>
    </xf>
    <xf numFmtId="0" fontId="15" fillId="0" borderId="14" xfId="0" applyFont="1" applyBorder="1" applyAlignment="1">
      <alignment vertical="center" wrapText="1"/>
    </xf>
    <xf numFmtId="166" fontId="15" fillId="0" borderId="14" xfId="2" applyNumberFormat="1" applyFont="1" applyBorder="1" applyAlignment="1">
      <alignment horizontal="right" vertical="center" wrapText="1"/>
    </xf>
    <xf numFmtId="0" fontId="15" fillId="0" borderId="15" xfId="0" applyFont="1" applyBorder="1" applyAlignment="1">
      <alignment horizontal="center" vertical="center" wrapText="1"/>
    </xf>
    <xf numFmtId="0" fontId="15" fillId="0" borderId="15" xfId="0" applyFont="1" applyBorder="1" applyAlignment="1">
      <alignment vertical="center" wrapText="1"/>
    </xf>
    <xf numFmtId="166" fontId="15" fillId="0" borderId="15" xfId="2" applyNumberFormat="1" applyFont="1" applyBorder="1" applyAlignment="1">
      <alignment horizontal="right" vertical="center" wrapText="1"/>
    </xf>
    <xf numFmtId="0" fontId="17" fillId="0" borderId="15" xfId="0" quotePrefix="1" applyFont="1" applyBorder="1" applyAlignment="1">
      <alignment horizontal="center" vertical="center" wrapText="1"/>
    </xf>
    <xf numFmtId="0" fontId="17" fillId="0" borderId="15" xfId="0" applyFont="1" applyBorder="1" applyAlignment="1">
      <alignment vertical="center" wrapText="1"/>
    </xf>
    <xf numFmtId="166" fontId="17" fillId="0" borderId="15" xfId="2" applyNumberFormat="1" applyFont="1" applyBorder="1" applyAlignment="1">
      <alignment horizontal="right" vertical="center" wrapText="1"/>
    </xf>
    <xf numFmtId="0" fontId="15" fillId="0" borderId="16" xfId="0" applyFont="1" applyBorder="1" applyAlignment="1">
      <alignment horizontal="center" vertical="center" wrapText="1"/>
    </xf>
    <xf numFmtId="0" fontId="15" fillId="0" borderId="16" xfId="0" applyFont="1" applyBorder="1" applyAlignment="1">
      <alignment vertical="center" wrapText="1"/>
    </xf>
    <xf numFmtId="166" fontId="15" fillId="0" borderId="16" xfId="2" applyNumberFormat="1" applyFont="1" applyBorder="1" applyAlignment="1">
      <alignment horizontal="right" vertical="center" wrapText="1"/>
    </xf>
    <xf numFmtId="0" fontId="24" fillId="0" borderId="1" xfId="0" applyFont="1" applyBorder="1" applyAlignment="1">
      <alignment vertical="center" wrapText="1"/>
    </xf>
    <xf numFmtId="167" fontId="44" fillId="2" borderId="1" xfId="2" applyNumberFormat="1" applyFont="1" applyFill="1" applyBorder="1" applyAlignment="1">
      <alignment vertical="center" wrapText="1"/>
    </xf>
    <xf numFmtId="171" fontId="28" fillId="0" borderId="0" xfId="0" applyNumberFormat="1" applyFont="1"/>
    <xf numFmtId="171" fontId="22" fillId="0" borderId="0" xfId="3" applyNumberFormat="1" applyFont="1" applyAlignment="1">
      <alignment horizontal="center" vertical="center" wrapText="1"/>
    </xf>
    <xf numFmtId="171" fontId="34" fillId="0" borderId="0" xfId="0" applyNumberFormat="1" applyFont="1"/>
    <xf numFmtId="171" fontId="24" fillId="0" borderId="1" xfId="3" quotePrefix="1" applyNumberFormat="1" applyFont="1" applyBorder="1" applyAlignment="1">
      <alignment horizontal="center" vertical="center" wrapText="1"/>
    </xf>
    <xf numFmtId="171" fontId="22" fillId="0" borderId="1" xfId="3" applyNumberFormat="1" applyFont="1" applyBorder="1" applyAlignment="1">
      <alignment horizontal="center" vertical="center" wrapText="1"/>
    </xf>
    <xf numFmtId="171" fontId="22" fillId="0" borderId="1" xfId="4" applyNumberFormat="1" applyFont="1" applyFill="1" applyBorder="1" applyAlignment="1">
      <alignment vertical="center" wrapText="1"/>
    </xf>
    <xf numFmtId="171" fontId="22" fillId="0" borderId="1" xfId="0" applyNumberFormat="1" applyFont="1" applyBorder="1" applyAlignment="1">
      <alignment horizontal="center" vertical="center" wrapText="1"/>
    </xf>
    <xf numFmtId="171" fontId="22" fillId="0" borderId="1" xfId="3" quotePrefix="1" applyNumberFormat="1" applyFont="1" applyBorder="1" applyAlignment="1">
      <alignment horizontal="center" vertical="center" wrapText="1"/>
    </xf>
    <xf numFmtId="171" fontId="22" fillId="0" borderId="1" xfId="3" applyNumberFormat="1" applyFont="1" applyBorder="1" applyAlignment="1">
      <alignment horizontal="right" vertical="center" wrapText="1"/>
    </xf>
    <xf numFmtId="171" fontId="24" fillId="0" borderId="0" xfId="0" applyNumberFormat="1" applyFont="1"/>
    <xf numFmtId="171" fontId="24" fillId="0" borderId="1" xfId="3" applyNumberFormat="1" applyFont="1" applyBorder="1" applyAlignment="1">
      <alignment horizontal="center" vertical="center" wrapText="1"/>
    </xf>
    <xf numFmtId="0" fontId="24" fillId="0" borderId="1" xfId="9" applyFont="1" applyBorder="1" applyAlignment="1">
      <alignment horizontal="center" vertical="center" wrapText="1"/>
    </xf>
    <xf numFmtId="0" fontId="24" fillId="0" borderId="1" xfId="0" applyFont="1" applyBorder="1" applyAlignment="1">
      <alignment horizontal="center" wrapText="1"/>
    </xf>
    <xf numFmtId="1" fontId="24" fillId="0" borderId="1" xfId="3" applyNumberFormat="1" applyFont="1" applyBorder="1" applyAlignment="1">
      <alignment horizontal="center" vertical="center" wrapText="1"/>
    </xf>
    <xf numFmtId="171" fontId="24" fillId="0" borderId="1" xfId="14" applyNumberFormat="1" applyFont="1" applyFill="1" applyBorder="1" applyAlignment="1">
      <alignment horizontal="right" vertical="center" wrapText="1"/>
    </xf>
    <xf numFmtId="171" fontId="24" fillId="0" borderId="1" xfId="14" applyNumberFormat="1" applyFont="1" applyFill="1" applyBorder="1" applyAlignment="1">
      <alignment horizontal="right" vertical="center"/>
    </xf>
    <xf numFmtId="171" fontId="24" fillId="0" borderId="1" xfId="0" applyNumberFormat="1" applyFont="1" applyBorder="1" applyAlignment="1">
      <alignment horizontal="center" vertical="center"/>
    </xf>
    <xf numFmtId="171" fontId="24" fillId="0" borderId="1" xfId="0" applyNumberFormat="1" applyFont="1" applyBorder="1" applyAlignment="1">
      <alignment horizontal="left" vertical="center" wrapText="1"/>
    </xf>
    <xf numFmtId="171" fontId="24" fillId="0" borderId="1" xfId="3" applyNumberFormat="1" applyFont="1" applyBorder="1" applyAlignment="1">
      <alignment vertical="center" wrapText="1"/>
    </xf>
    <xf numFmtId="0" fontId="24" fillId="0" borderId="1" xfId="10" applyFont="1" applyBorder="1" applyAlignment="1">
      <alignment horizontal="center" vertical="center" wrapText="1"/>
    </xf>
    <xf numFmtId="171" fontId="24" fillId="0" borderId="1" xfId="0" applyNumberFormat="1" applyFont="1" applyBorder="1" applyAlignment="1">
      <alignment vertical="center" wrapText="1"/>
    </xf>
    <xf numFmtId="171" fontId="24" fillId="0" borderId="1" xfId="0" applyNumberFormat="1" applyFont="1" applyBorder="1"/>
    <xf numFmtId="171" fontId="22" fillId="0" borderId="0" xfId="0" applyNumberFormat="1" applyFont="1"/>
    <xf numFmtId="171" fontId="24" fillId="0" borderId="1" xfId="0" applyNumberFormat="1" applyFont="1" applyBorder="1" applyAlignment="1">
      <alignment horizontal="center" vertical="center" wrapText="1"/>
    </xf>
    <xf numFmtId="171" fontId="24" fillId="0" borderId="1" xfId="15" applyNumberFormat="1" applyFont="1" applyFill="1" applyBorder="1" applyAlignment="1">
      <alignment horizontal="center" vertical="center"/>
    </xf>
    <xf numFmtId="171" fontId="24" fillId="0" borderId="1" xfId="16" applyNumberFormat="1" applyFont="1" applyFill="1" applyBorder="1" applyAlignment="1">
      <alignment horizontal="center" vertical="center" wrapText="1"/>
    </xf>
    <xf numFmtId="171" fontId="24" fillId="0" borderId="1" xfId="10" applyNumberFormat="1" applyFont="1" applyBorder="1" applyAlignment="1">
      <alignment horizontal="justify" vertical="center" wrapText="1"/>
    </xf>
    <xf numFmtId="171" fontId="24" fillId="0" borderId="1" xfId="11" applyNumberFormat="1" applyFont="1" applyBorder="1" applyAlignment="1">
      <alignment horizontal="left" vertical="center"/>
    </xf>
    <xf numFmtId="171" fontId="24" fillId="0" borderId="24" xfId="10" applyNumberFormat="1" applyFont="1" applyBorder="1" applyAlignment="1">
      <alignment horizontal="center" vertical="center" wrapText="1"/>
    </xf>
    <xf numFmtId="171" fontId="24" fillId="0" borderId="1" xfId="10" applyNumberFormat="1" applyFont="1" applyBorder="1" applyAlignment="1">
      <alignment horizontal="center" vertical="center" wrapText="1"/>
    </xf>
    <xf numFmtId="171" fontId="22" fillId="0" borderId="1" xfId="3" applyNumberFormat="1" applyFont="1" applyBorder="1" applyAlignment="1">
      <alignment vertical="center" wrapText="1"/>
    </xf>
    <xf numFmtId="171" fontId="28" fillId="0" borderId="0" xfId="0" applyNumberFormat="1" applyFont="1" applyAlignment="1">
      <alignment horizontal="center" vertical="center"/>
    </xf>
    <xf numFmtId="171" fontId="28" fillId="0" borderId="0" xfId="0" applyNumberFormat="1" applyFont="1" applyAlignment="1">
      <alignment horizontal="center"/>
    </xf>
    <xf numFmtId="0" fontId="6" fillId="0" borderId="0" xfId="0" applyFont="1" applyAlignment="1">
      <alignment vertical="center" wrapText="1"/>
    </xf>
    <xf numFmtId="165" fontId="2" fillId="2" borderId="1" xfId="2" applyFont="1" applyFill="1" applyBorder="1" applyAlignment="1">
      <alignment horizontal="center" vertical="center" wrapText="1"/>
    </xf>
    <xf numFmtId="166" fontId="7" fillId="0" borderId="0" xfId="0" applyNumberFormat="1" applyFont="1" applyAlignment="1">
      <alignment vertical="center"/>
    </xf>
    <xf numFmtId="0" fontId="2" fillId="0" borderId="0" xfId="0" applyFont="1" applyAlignment="1">
      <alignment horizontal="center"/>
    </xf>
    <xf numFmtId="0" fontId="7" fillId="0" borderId="0" xfId="0" applyFont="1"/>
    <xf numFmtId="3" fontId="2" fillId="0" borderId="0" xfId="0" applyNumberFormat="1" applyFont="1"/>
    <xf numFmtId="0" fontId="23" fillId="0" borderId="0" xfId="0" applyFont="1" applyAlignment="1">
      <alignment vertical="center" wrapText="1"/>
    </xf>
    <xf numFmtId="165" fontId="5" fillId="0" borderId="0" xfId="2" applyFont="1" applyFill="1" applyBorder="1" applyAlignment="1">
      <alignment vertical="center"/>
    </xf>
    <xf numFmtId="165" fontId="2" fillId="0" borderId="0" xfId="2" applyFont="1" applyFill="1"/>
    <xf numFmtId="0" fontId="22" fillId="0" borderId="18" xfId="0" applyFont="1" applyBorder="1" applyAlignment="1">
      <alignment horizontal="center"/>
    </xf>
    <xf numFmtId="0" fontId="47" fillId="0" borderId="19" xfId="0" applyFont="1" applyBorder="1"/>
    <xf numFmtId="3" fontId="22" fillId="0" borderId="14" xfId="0" applyNumberFormat="1" applyFont="1" applyBorder="1"/>
    <xf numFmtId="0" fontId="23" fillId="0" borderId="0" xfId="0" applyFont="1" applyAlignment="1">
      <alignment horizontal="center" vertical="center" wrapText="1"/>
    </xf>
    <xf numFmtId="0" fontId="24" fillId="0" borderId="0" xfId="0" applyFont="1" applyAlignment="1">
      <alignment vertical="center"/>
    </xf>
    <xf numFmtId="0" fontId="24" fillId="0" borderId="20" xfId="0" applyFont="1" applyBorder="1" applyAlignment="1">
      <alignment horizontal="center"/>
    </xf>
    <xf numFmtId="0" fontId="24" fillId="0" borderId="21" xfId="0" applyFont="1" applyBorder="1"/>
    <xf numFmtId="3" fontId="24" fillId="0" borderId="15" xfId="0" applyNumberFormat="1" applyFont="1" applyBorder="1"/>
    <xf numFmtId="0" fontId="24" fillId="0" borderId="22" xfId="0" applyFont="1" applyBorder="1" applyAlignment="1">
      <alignment horizontal="center"/>
    </xf>
    <xf numFmtId="0" fontId="24" fillId="0" borderId="23" xfId="0" applyFont="1" applyBorder="1"/>
    <xf numFmtId="3" fontId="24" fillId="0" borderId="16" xfId="0" applyNumberFormat="1" applyFont="1" applyBorder="1"/>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1" xfId="0" quotePrefix="1" applyFont="1" applyBorder="1" applyAlignment="1">
      <alignment horizontal="center" vertical="center"/>
    </xf>
    <xf numFmtId="165" fontId="22" fillId="0" borderId="14" xfId="2" applyFont="1" applyBorder="1"/>
    <xf numFmtId="0" fontId="33" fillId="0" borderId="0" xfId="0" applyFont="1" applyAlignment="1">
      <alignment vertical="center"/>
    </xf>
    <xf numFmtId="0" fontId="49" fillId="0" borderId="0" xfId="0" applyFont="1" applyAlignment="1">
      <alignment vertical="center" wrapText="1"/>
    </xf>
    <xf numFmtId="0" fontId="2" fillId="0" borderId="15" xfId="0" applyFont="1" applyBorder="1" applyAlignment="1">
      <alignment wrapText="1"/>
    </xf>
    <xf numFmtId="170" fontId="2" fillId="0" borderId="0" xfId="2" applyNumberFormat="1" applyFont="1" applyFill="1" applyAlignment="1">
      <alignment horizontal="center"/>
    </xf>
    <xf numFmtId="166" fontId="2" fillId="0" borderId="0" xfId="2" applyNumberFormat="1" applyFont="1" applyFill="1" applyAlignment="1">
      <alignment horizontal="center"/>
    </xf>
    <xf numFmtId="0" fontId="28" fillId="0" borderId="0" xfId="0" applyFont="1"/>
    <xf numFmtId="0" fontId="33" fillId="0" borderId="6" xfId="0" applyFont="1" applyBorder="1" applyAlignment="1">
      <alignment horizontal="center" wrapText="1"/>
    </xf>
    <xf numFmtId="166" fontId="28" fillId="0" borderId="1" xfId="2" applyNumberFormat="1" applyFont="1" applyBorder="1" applyAlignment="1">
      <alignment vertical="center" wrapText="1"/>
    </xf>
    <xf numFmtId="0" fontId="34" fillId="0" borderId="1" xfId="0" applyFont="1" applyBorder="1" applyAlignment="1">
      <alignment horizontal="center" vertical="center" wrapText="1"/>
    </xf>
    <xf numFmtId="0" fontId="24" fillId="0" borderId="0" xfId="0" applyFont="1"/>
    <xf numFmtId="166" fontId="34" fillId="0" borderId="1" xfId="2" applyNumberFormat="1" applyFont="1" applyBorder="1" applyAlignment="1">
      <alignment vertical="center" wrapText="1"/>
    </xf>
    <xf numFmtId="0" fontId="28" fillId="0" borderId="1" xfId="0" applyFont="1" applyBorder="1" applyAlignment="1">
      <alignment horizontal="center" vertical="center" wrapText="1"/>
    </xf>
    <xf numFmtId="0" fontId="28" fillId="0" borderId="1" xfId="0" applyFont="1" applyBorder="1"/>
    <xf numFmtId="0" fontId="24" fillId="0" borderId="0" xfId="0" applyFont="1" applyAlignment="1">
      <alignment horizontal="center"/>
    </xf>
    <xf numFmtId="0" fontId="23" fillId="0" borderId="0" xfId="0" applyFont="1" applyAlignment="1">
      <alignment horizontal="center" wrapText="1"/>
    </xf>
    <xf numFmtId="3" fontId="23" fillId="0" borderId="0" xfId="0" applyNumberFormat="1" applyFont="1" applyAlignment="1">
      <alignment horizontal="center"/>
    </xf>
    <xf numFmtId="37" fontId="23" fillId="0" borderId="0" xfId="0" applyNumberFormat="1" applyFont="1" applyAlignment="1">
      <alignment horizontal="center"/>
    </xf>
    <xf numFmtId="0" fontId="23" fillId="0" borderId="0" xfId="0" applyFont="1" applyAlignment="1">
      <alignment horizontal="center"/>
    </xf>
    <xf numFmtId="37" fontId="24" fillId="0" borderId="0" xfId="0" applyNumberFormat="1" applyFont="1"/>
    <xf numFmtId="37" fontId="24" fillId="0" borderId="1" xfId="0" applyNumberFormat="1" applyFont="1" applyBorder="1" applyAlignment="1">
      <alignment horizontal="left" vertical="center"/>
    </xf>
    <xf numFmtId="0" fontId="22" fillId="0" borderId="1" xfId="0" applyFont="1" applyBorder="1" applyAlignment="1">
      <alignment horizontal="center"/>
    </xf>
    <xf numFmtId="3" fontId="24" fillId="0" borderId="0" xfId="0" applyNumberFormat="1" applyFont="1"/>
    <xf numFmtId="0" fontId="22" fillId="0" borderId="0" xfId="0" applyFont="1"/>
    <xf numFmtId="168" fontId="2" fillId="0" borderId="0" xfId="0" applyNumberFormat="1" applyFont="1"/>
    <xf numFmtId="169" fontId="2" fillId="0" borderId="0" xfId="0" applyNumberFormat="1" applyFont="1"/>
    <xf numFmtId="0" fontId="5" fillId="0" borderId="0" xfId="0" applyFont="1"/>
    <xf numFmtId="0" fontId="2" fillId="0" borderId="0" xfId="0" applyFont="1" applyAlignment="1">
      <alignment horizontal="right"/>
    </xf>
    <xf numFmtId="0" fontId="6" fillId="0" borderId="0" xfId="0" applyFont="1"/>
    <xf numFmtId="0" fontId="2" fillId="0" borderId="1" xfId="0" applyFont="1" applyBorder="1" applyAlignment="1">
      <alignment horizontal="center"/>
    </xf>
    <xf numFmtId="0" fontId="5" fillId="0" borderId="0" xfId="0" applyFont="1" applyAlignment="1">
      <alignment horizontal="right"/>
    </xf>
    <xf numFmtId="168" fontId="5" fillId="0" borderId="0" xfId="0" applyNumberFormat="1" applyFont="1"/>
    <xf numFmtId="1" fontId="2" fillId="0" borderId="0" xfId="0" applyNumberFormat="1" applyFont="1"/>
    <xf numFmtId="3" fontId="6" fillId="0" borderId="0" xfId="0" applyNumberFormat="1" applyFont="1"/>
    <xf numFmtId="0" fontId="6" fillId="0" borderId="0" xfId="0" applyFont="1" applyAlignment="1">
      <alignment horizontal="right"/>
    </xf>
    <xf numFmtId="3" fontId="2" fillId="0" borderId="0" xfId="0" applyNumberFormat="1" applyFont="1" applyAlignment="1">
      <alignment horizontal="center"/>
    </xf>
    <xf numFmtId="0" fontId="2" fillId="0" borderId="0" xfId="0" applyFont="1" applyAlignment="1">
      <alignment horizontal="right" vertical="center" wrapText="1"/>
    </xf>
    <xf numFmtId="0" fontId="46" fillId="0" borderId="0" xfId="0" applyFont="1"/>
    <xf numFmtId="37" fontId="24" fillId="5" borderId="1" xfId="0" applyNumberFormat="1" applyFont="1" applyFill="1" applyBorder="1" applyAlignment="1">
      <alignment vertical="center"/>
    </xf>
    <xf numFmtId="0" fontId="5" fillId="0" borderId="0" xfId="0" applyFont="1" applyAlignment="1">
      <alignment horizontal="center" vertical="center" wrapText="1"/>
    </xf>
    <xf numFmtId="0" fontId="51" fillId="0" borderId="1" xfId="0" applyFont="1" applyBorder="1" applyAlignment="1">
      <alignment horizontal="center" vertical="center" wrapText="1"/>
    </xf>
    <xf numFmtId="0" fontId="52" fillId="0" borderId="1" xfId="0" applyFont="1" applyBorder="1" applyAlignment="1">
      <alignment horizontal="center" vertical="center" wrapText="1"/>
    </xf>
    <xf numFmtId="166" fontId="24" fillId="0" borderId="1" xfId="2" applyNumberFormat="1" applyFont="1" applyBorder="1"/>
    <xf numFmtId="166" fontId="31" fillId="0" borderId="0" xfId="0" applyNumberFormat="1" applyFont="1"/>
    <xf numFmtId="166" fontId="31" fillId="0" borderId="0" xfId="2" applyNumberFormat="1" applyFont="1"/>
    <xf numFmtId="0" fontId="53" fillId="0" borderId="0" xfId="0" applyFont="1"/>
    <xf numFmtId="3" fontId="53" fillId="0" borderId="0" xfId="0" applyNumberFormat="1" applyFont="1"/>
    <xf numFmtId="0" fontId="53" fillId="0" borderId="0" xfId="0" applyFont="1" applyAlignment="1">
      <alignment horizontal="right"/>
    </xf>
    <xf numFmtId="167" fontId="54" fillId="0" borderId="0" xfId="0" applyNumberFormat="1" applyFont="1"/>
    <xf numFmtId="0" fontId="54" fillId="0" borderId="0" xfId="0" applyFont="1"/>
    <xf numFmtId="0" fontId="54" fillId="0" borderId="0" xfId="0" applyFont="1" applyAlignment="1">
      <alignment horizontal="right"/>
    </xf>
    <xf numFmtId="0" fontId="53" fillId="0" borderId="0" xfId="0" applyFont="1" applyAlignment="1">
      <alignment horizontal="right" vertical="center" wrapText="1"/>
    </xf>
    <xf numFmtId="168" fontId="53" fillId="0" borderId="0" xfId="0" applyNumberFormat="1" applyFont="1"/>
    <xf numFmtId="0" fontId="57" fillId="0" borderId="0" xfId="0" applyFont="1"/>
    <xf numFmtId="168" fontId="57" fillId="0" borderId="0" xfId="0" applyNumberFormat="1" applyFont="1"/>
    <xf numFmtId="0" fontId="57" fillId="0" borderId="0" xfId="0" applyFont="1" applyAlignment="1">
      <alignment horizontal="right"/>
    </xf>
    <xf numFmtId="0" fontId="55" fillId="0" borderId="0" xfId="0" applyFont="1"/>
    <xf numFmtId="168" fontId="55" fillId="0" borderId="0" xfId="0" applyNumberFormat="1" applyFont="1"/>
    <xf numFmtId="0" fontId="55" fillId="0" borderId="0" xfId="0" applyFont="1" applyAlignment="1">
      <alignment horizontal="right"/>
    </xf>
    <xf numFmtId="0" fontId="58" fillId="0" borderId="1" xfId="0" applyFont="1" applyBorder="1" applyAlignment="1">
      <alignment horizontal="left" vertical="center" wrapText="1"/>
    </xf>
    <xf numFmtId="0" fontId="58" fillId="0" borderId="0" xfId="0" applyFont="1"/>
    <xf numFmtId="168" fontId="58" fillId="0" borderId="0" xfId="0" applyNumberFormat="1" applyFont="1"/>
    <xf numFmtId="0" fontId="58" fillId="0" borderId="0" xfId="0" applyFont="1" applyAlignment="1">
      <alignment horizontal="right"/>
    </xf>
    <xf numFmtId="0" fontId="55" fillId="0" borderId="1" xfId="0" applyFont="1" applyBorder="1" applyAlignment="1">
      <alignment horizontal="left" vertical="center" wrapText="1"/>
    </xf>
    <xf numFmtId="0" fontId="59" fillId="0" borderId="0" xfId="0" applyFont="1"/>
    <xf numFmtId="168" fontId="33" fillId="0" borderId="0" xfId="0" applyNumberFormat="1" applyFont="1"/>
    <xf numFmtId="0" fontId="33" fillId="0" borderId="0" xfId="0" applyFont="1"/>
    <xf numFmtId="0" fontId="33" fillId="0" borderId="0" xfId="0" applyFont="1" applyAlignment="1">
      <alignment horizontal="right"/>
    </xf>
    <xf numFmtId="170" fontId="57" fillId="0" borderId="0" xfId="2" applyNumberFormat="1" applyFont="1" applyFill="1" applyBorder="1"/>
    <xf numFmtId="0" fontId="56" fillId="0" borderId="0" xfId="0" applyFont="1"/>
    <xf numFmtId="0" fontId="56" fillId="0" borderId="0" xfId="0" applyFont="1" applyAlignment="1">
      <alignment horizontal="right"/>
    </xf>
    <xf numFmtId="170" fontId="53" fillId="0" borderId="0" xfId="2" applyNumberFormat="1" applyFont="1" applyFill="1"/>
    <xf numFmtId="170" fontId="57" fillId="0" borderId="0" xfId="2" applyNumberFormat="1" applyFont="1" applyFill="1"/>
    <xf numFmtId="0" fontId="60" fillId="5" borderId="0" xfId="0" applyFont="1" applyFill="1" applyAlignment="1">
      <alignment horizontal="center" vertical="center"/>
    </xf>
    <xf numFmtId="0" fontId="61" fillId="5" borderId="0" xfId="0" applyFont="1" applyFill="1" applyAlignment="1">
      <alignment horizontal="center" vertical="center"/>
    </xf>
    <xf numFmtId="173" fontId="61" fillId="5" borderId="0" xfId="2" applyNumberFormat="1" applyFont="1" applyFill="1" applyAlignment="1">
      <alignment horizontal="center" vertical="center"/>
    </xf>
    <xf numFmtId="173" fontId="61" fillId="5" borderId="0" xfId="0" applyNumberFormat="1" applyFont="1" applyFill="1" applyAlignment="1">
      <alignment vertical="center"/>
    </xf>
    <xf numFmtId="0" fontId="60" fillId="5" borderId="0" xfId="0" applyFont="1" applyFill="1" applyAlignment="1">
      <alignment vertical="center"/>
    </xf>
    <xf numFmtId="0" fontId="61" fillId="5" borderId="0" xfId="0" applyFont="1" applyFill="1" applyAlignment="1">
      <alignment vertical="center"/>
    </xf>
    <xf numFmtId="173" fontId="61" fillId="5" borderId="0" xfId="2" applyNumberFormat="1" applyFont="1" applyFill="1" applyAlignment="1">
      <alignment vertical="center"/>
    </xf>
    <xf numFmtId="173" fontId="60" fillId="5" borderId="0" xfId="2" applyNumberFormat="1" applyFont="1" applyFill="1" applyAlignment="1">
      <alignment vertical="center"/>
    </xf>
    <xf numFmtId="173" fontId="60" fillId="5" borderId="0" xfId="0" applyNumberFormat="1" applyFont="1" applyFill="1" applyAlignment="1">
      <alignment vertical="center"/>
    </xf>
    <xf numFmtId="173" fontId="61" fillId="5" borderId="1" xfId="0" applyNumberFormat="1" applyFont="1" applyFill="1" applyBorder="1" applyAlignment="1">
      <alignment horizontal="center" vertical="center" wrapText="1"/>
    </xf>
    <xf numFmtId="0" fontId="64" fillId="5" borderId="1" xfId="0" applyFont="1" applyFill="1" applyBorder="1" applyAlignment="1">
      <alignment horizontal="center" vertical="center" wrapText="1"/>
    </xf>
    <xf numFmtId="167" fontId="64" fillId="5" borderId="6" xfId="2" applyNumberFormat="1" applyFont="1" applyFill="1" applyBorder="1" applyAlignment="1">
      <alignment horizontal="center" vertical="center" wrapText="1"/>
    </xf>
    <xf numFmtId="0" fontId="64" fillId="5" borderId="6" xfId="0" applyFont="1" applyFill="1" applyBorder="1" applyAlignment="1">
      <alignment horizontal="center" vertical="center" wrapText="1"/>
    </xf>
    <xf numFmtId="173" fontId="64" fillId="5" borderId="6" xfId="2" applyNumberFormat="1" applyFont="1" applyFill="1" applyBorder="1" applyAlignment="1">
      <alignment horizontal="center" vertical="center" wrapText="1"/>
    </xf>
    <xf numFmtId="173" fontId="64" fillId="5" borderId="6" xfId="2" quotePrefix="1" applyNumberFormat="1" applyFont="1" applyFill="1" applyBorder="1" applyAlignment="1">
      <alignment horizontal="center" vertical="center" wrapText="1"/>
    </xf>
    <xf numFmtId="0" fontId="64" fillId="5" borderId="0" xfId="0" applyFont="1" applyFill="1" applyAlignment="1">
      <alignment vertical="center"/>
    </xf>
    <xf numFmtId="167" fontId="60" fillId="5" borderId="0" xfId="2" applyNumberFormat="1" applyFont="1" applyFill="1" applyAlignment="1">
      <alignment vertical="center"/>
    </xf>
    <xf numFmtId="167" fontId="65" fillId="5" borderId="0" xfId="2" applyNumberFormat="1" applyFont="1" applyFill="1" applyAlignment="1">
      <alignment vertical="center"/>
    </xf>
    <xf numFmtId="0" fontId="28" fillId="5" borderId="0" xfId="0" applyFont="1" applyFill="1" applyAlignment="1">
      <alignment vertical="center"/>
    </xf>
    <xf numFmtId="173" fontId="28" fillId="5" borderId="0" xfId="0" applyNumberFormat="1" applyFont="1" applyFill="1" applyAlignment="1">
      <alignment vertical="center"/>
    </xf>
    <xf numFmtId="0" fontId="34" fillId="5" borderId="0" xfId="0" applyFont="1" applyFill="1" applyAlignment="1">
      <alignment vertical="center"/>
    </xf>
    <xf numFmtId="0" fontId="28" fillId="5" borderId="0" xfId="0" quotePrefix="1" applyFont="1" applyFill="1" applyAlignment="1">
      <alignment horizontal="center" vertical="center" shrinkToFit="1"/>
    </xf>
    <xf numFmtId="0" fontId="28" fillId="5" borderId="0" xfId="0" applyFont="1" applyFill="1" applyAlignment="1">
      <alignment vertical="center" shrinkToFit="1"/>
    </xf>
    <xf numFmtId="167" fontId="28" fillId="5" borderId="0" xfId="2" applyNumberFormat="1" applyFont="1" applyFill="1" applyBorder="1" applyAlignment="1">
      <alignment horizontal="center" vertical="center" wrapText="1"/>
    </xf>
    <xf numFmtId="167" fontId="28" fillId="5" borderId="0" xfId="0" applyNumberFormat="1" applyFont="1" applyFill="1" applyAlignment="1">
      <alignment horizontal="center" vertical="center" wrapText="1"/>
    </xf>
    <xf numFmtId="0" fontId="28" fillId="5" borderId="0" xfId="0" applyFont="1" applyFill="1" applyAlignment="1">
      <alignment horizontal="center" vertical="center" wrapText="1"/>
    </xf>
    <xf numFmtId="173" fontId="28" fillId="5" borderId="0" xfId="2" applyNumberFormat="1" applyFont="1" applyFill="1" applyBorder="1" applyAlignment="1">
      <alignment horizontal="center" vertical="center" wrapText="1"/>
    </xf>
    <xf numFmtId="173" fontId="28" fillId="5" borderId="0" xfId="2" quotePrefix="1" applyNumberFormat="1" applyFont="1" applyFill="1" applyBorder="1" applyAlignment="1">
      <alignment horizontal="center" vertical="center" wrapText="1"/>
    </xf>
    <xf numFmtId="173" fontId="28" fillId="5" borderId="0" xfId="0" quotePrefix="1" applyNumberFormat="1" applyFont="1" applyFill="1" applyAlignment="1">
      <alignment horizontal="center" vertical="center" wrapText="1"/>
    </xf>
    <xf numFmtId="173" fontId="34" fillId="5" borderId="0" xfId="2" applyNumberFormat="1" applyFont="1" applyFill="1" applyBorder="1" applyAlignment="1">
      <alignment horizontal="center" vertical="center" wrapText="1"/>
    </xf>
    <xf numFmtId="173" fontId="34" fillId="5" borderId="0" xfId="2" applyNumberFormat="1" applyFont="1" applyFill="1" applyAlignment="1">
      <alignment vertical="center"/>
    </xf>
    <xf numFmtId="173" fontId="28" fillId="5" borderId="0" xfId="2" applyNumberFormat="1" applyFont="1" applyFill="1" applyAlignment="1">
      <alignment vertical="center"/>
    </xf>
    <xf numFmtId="173" fontId="34" fillId="5" borderId="0" xfId="0" applyNumberFormat="1" applyFont="1" applyFill="1" applyAlignment="1">
      <alignment vertical="center"/>
    </xf>
    <xf numFmtId="0" fontId="60" fillId="5" borderId="0" xfId="0" quotePrefix="1" applyFont="1" applyFill="1" applyAlignment="1">
      <alignment vertical="center"/>
    </xf>
    <xf numFmtId="0" fontId="66" fillId="5" borderId="0" xfId="0" applyFont="1" applyFill="1" applyAlignment="1">
      <alignment vertical="center"/>
    </xf>
    <xf numFmtId="0" fontId="23" fillId="0" borderId="0" xfId="0" applyFont="1"/>
    <xf numFmtId="37" fontId="22" fillId="0" borderId="0" xfId="0" applyNumberFormat="1" applyFont="1"/>
    <xf numFmtId="0" fontId="68" fillId="0" borderId="0" xfId="0" applyFont="1"/>
    <xf numFmtId="0" fontId="67" fillId="0" borderId="0" xfId="0" applyFont="1" applyAlignment="1">
      <alignment horizontal="center"/>
    </xf>
    <xf numFmtId="0" fontId="67" fillId="0" borderId="0" xfId="0" applyFont="1"/>
    <xf numFmtId="0" fontId="68" fillId="0" borderId="0" xfId="0" applyFont="1" applyAlignment="1">
      <alignment horizontal="center"/>
    </xf>
    <xf numFmtId="3" fontId="67" fillId="0" borderId="0" xfId="0" applyNumberFormat="1" applyFont="1"/>
    <xf numFmtId="3" fontId="68" fillId="0" borderId="0" xfId="0" applyNumberFormat="1" applyFont="1"/>
    <xf numFmtId="3" fontId="67" fillId="0" borderId="0" xfId="0" applyNumberFormat="1" applyFont="1" applyAlignment="1">
      <alignment horizontal="center"/>
    </xf>
    <xf numFmtId="3" fontId="68" fillId="0" borderId="0" xfId="0" applyNumberFormat="1" applyFont="1" applyAlignment="1">
      <alignment horizontal="center"/>
    </xf>
    <xf numFmtId="168" fontId="71" fillId="0" borderId="1" xfId="0" applyNumberFormat="1" applyFont="1" applyBorder="1" applyAlignment="1">
      <alignment horizontal="center" vertical="center" wrapText="1"/>
    </xf>
    <xf numFmtId="0" fontId="67" fillId="0" borderId="1" xfId="0" applyFont="1" applyBorder="1" applyAlignment="1">
      <alignment vertical="center"/>
    </xf>
    <xf numFmtId="0" fontId="67" fillId="0" borderId="1" xfId="0" applyFont="1" applyBorder="1" applyAlignment="1">
      <alignment horizontal="center" vertical="center"/>
    </xf>
    <xf numFmtId="0" fontId="68" fillId="0" borderId="1" xfId="0" applyFont="1" applyBorder="1" applyAlignment="1">
      <alignment horizontal="center" vertical="center"/>
    </xf>
    <xf numFmtId="0" fontId="68" fillId="0" borderId="1" xfId="0" applyFont="1" applyBorder="1" applyAlignment="1">
      <alignment vertical="center"/>
    </xf>
    <xf numFmtId="0" fontId="68" fillId="0" borderId="1" xfId="0" quotePrefix="1" applyFont="1" applyBorder="1" applyAlignment="1">
      <alignment horizontal="center" vertical="center"/>
    </xf>
    <xf numFmtId="0" fontId="68" fillId="0" borderId="1" xfId="0" quotePrefix="1" applyFont="1" applyBorder="1" applyAlignment="1">
      <alignment vertical="center" wrapText="1"/>
    </xf>
    <xf numFmtId="0" fontId="68" fillId="0" borderId="1" xfId="0" applyFont="1" applyBorder="1" applyAlignment="1">
      <alignment vertical="center" wrapText="1"/>
    </xf>
    <xf numFmtId="0" fontId="68" fillId="0" borderId="1" xfId="0" applyFont="1" applyBorder="1" applyAlignment="1">
      <alignment horizontal="center" vertical="center" wrapText="1"/>
    </xf>
    <xf numFmtId="0" fontId="68" fillId="0" borderId="1" xfId="0" applyFont="1" applyBorder="1" applyAlignment="1">
      <alignment horizontal="left" vertical="center" wrapText="1"/>
    </xf>
    <xf numFmtId="0" fontId="43" fillId="0" borderId="1" xfId="0" applyFont="1" applyBorder="1" applyAlignment="1">
      <alignment horizontal="left" vertical="center" wrapText="1"/>
    </xf>
    <xf numFmtId="0" fontId="68" fillId="0" borderId="1" xfId="0" quotePrefix="1" applyFont="1" applyBorder="1" applyAlignment="1">
      <alignment vertical="center"/>
    </xf>
    <xf numFmtId="0" fontId="42" fillId="0" borderId="1" xfId="0" quotePrefix="1" applyFont="1" applyBorder="1" applyAlignment="1">
      <alignment horizontal="left" vertical="center" wrapText="1"/>
    </xf>
    <xf numFmtId="0" fontId="68" fillId="0" borderId="1" xfId="12" applyFont="1" applyBorder="1" applyAlignment="1">
      <alignment horizontal="justify" vertical="center" wrapText="1"/>
    </xf>
    <xf numFmtId="0" fontId="68" fillId="0" borderId="1" xfId="12" quotePrefix="1" applyFont="1" applyBorder="1" applyAlignment="1">
      <alignment horizontal="justify" vertical="center" wrapText="1"/>
    </xf>
    <xf numFmtId="0" fontId="67" fillId="0" borderId="1" xfId="0" quotePrefix="1" applyFont="1" applyBorder="1" applyAlignment="1">
      <alignment horizontal="center" vertical="center"/>
    </xf>
    <xf numFmtId="0" fontId="67" fillId="0" borderId="1" xfId="12" applyFont="1" applyBorder="1" applyAlignment="1">
      <alignment horizontal="justify" vertical="center" wrapText="1"/>
    </xf>
    <xf numFmtId="3" fontId="72" fillId="0" borderId="0" xfId="0" applyNumberFormat="1" applyFont="1"/>
    <xf numFmtId="0" fontId="72" fillId="0" borderId="0" xfId="0" applyFont="1"/>
    <xf numFmtId="3" fontId="73" fillId="0" borderId="0" xfId="0" applyNumberFormat="1" applyFont="1"/>
    <xf numFmtId="0" fontId="42" fillId="0" borderId="1" xfId="12" quotePrefix="1" applyFont="1" applyBorder="1" applyAlignment="1">
      <alignment horizontal="left" vertical="center" wrapText="1"/>
    </xf>
    <xf numFmtId="166" fontId="67" fillId="0" borderId="1" xfId="2" applyNumberFormat="1" applyFont="1" applyBorder="1" applyAlignment="1">
      <alignment vertical="center"/>
    </xf>
    <xf numFmtId="166" fontId="68" fillId="0" borderId="1" xfId="2" applyNumberFormat="1" applyFont="1" applyBorder="1" applyAlignment="1">
      <alignment vertical="center"/>
    </xf>
    <xf numFmtId="166" fontId="43" fillId="0" borderId="1" xfId="2" applyNumberFormat="1" applyFont="1" applyBorder="1" applyAlignment="1">
      <alignment vertical="center"/>
    </xf>
    <xf numFmtId="166" fontId="42" fillId="0" borderId="1" xfId="2" applyNumberFormat="1" applyFont="1" applyBorder="1" applyAlignment="1">
      <alignment vertical="center"/>
    </xf>
    <xf numFmtId="166" fontId="69" fillId="0" borderId="1" xfId="2" applyNumberFormat="1" applyFont="1" applyBorder="1" applyAlignment="1">
      <alignment vertical="center"/>
    </xf>
    <xf numFmtId="166" fontId="68" fillId="0" borderId="1" xfId="2" applyNumberFormat="1" applyFont="1" applyFill="1" applyBorder="1" applyAlignment="1">
      <alignment vertical="center"/>
    </xf>
    <xf numFmtId="166" fontId="67" fillId="0" borderId="1" xfId="2" applyNumberFormat="1" applyFont="1" applyFill="1" applyBorder="1" applyAlignment="1">
      <alignment vertical="center"/>
    </xf>
    <xf numFmtId="166" fontId="69" fillId="0" borderId="1" xfId="2" applyNumberFormat="1" applyFont="1" applyFill="1" applyBorder="1" applyAlignment="1">
      <alignment vertical="center"/>
    </xf>
    <xf numFmtId="166" fontId="70" fillId="0" borderId="1" xfId="2" applyNumberFormat="1" applyFont="1" applyBorder="1" applyAlignment="1">
      <alignment vertical="center"/>
    </xf>
    <xf numFmtId="0" fontId="6" fillId="0" borderId="7" xfId="0" applyFont="1" applyBorder="1" applyAlignment="1"/>
    <xf numFmtId="37" fontId="22" fillId="0" borderId="1" xfId="0" applyNumberFormat="1" applyFont="1" applyBorder="1" applyAlignment="1">
      <alignment horizontal="center" vertical="center"/>
    </xf>
    <xf numFmtId="37" fontId="22" fillId="0" borderId="1" xfId="0" applyNumberFormat="1" applyFont="1" applyBorder="1" applyAlignment="1">
      <alignment horizontal="center" vertical="center" wrapText="1"/>
    </xf>
    <xf numFmtId="37" fontId="22" fillId="0" borderId="1" xfId="0" applyNumberFormat="1" applyFont="1" applyBorder="1" applyAlignment="1">
      <alignment horizontal="right" vertical="center" wrapText="1"/>
    </xf>
    <xf numFmtId="37" fontId="22" fillId="0" borderId="1" xfId="0" applyNumberFormat="1" applyFont="1" applyBorder="1" applyAlignment="1">
      <alignment horizontal="left" vertical="center"/>
    </xf>
    <xf numFmtId="37" fontId="22" fillId="0" borderId="1" xfId="0" applyNumberFormat="1" applyFont="1" applyBorder="1" applyAlignment="1">
      <alignment vertical="center" wrapText="1"/>
    </xf>
    <xf numFmtId="37" fontId="24" fillId="0" borderId="1" xfId="0" quotePrefix="1" applyNumberFormat="1" applyFont="1" applyBorder="1" applyAlignment="1">
      <alignment horizontal="center" vertical="center"/>
    </xf>
    <xf numFmtId="37" fontId="24" fillId="0" borderId="1" xfId="0" applyNumberFormat="1" applyFont="1" applyBorder="1" applyAlignment="1">
      <alignment vertical="center"/>
    </xf>
    <xf numFmtId="37" fontId="24" fillId="0" borderId="1" xfId="0" applyNumberFormat="1" applyFont="1" applyBorder="1" applyAlignment="1">
      <alignment vertical="center" wrapText="1"/>
    </xf>
    <xf numFmtId="37" fontId="22" fillId="0" borderId="1" xfId="0" applyNumberFormat="1" applyFont="1" applyBorder="1" applyAlignment="1">
      <alignment vertical="center"/>
    </xf>
    <xf numFmtId="0" fontId="24" fillId="0" borderId="1" xfId="0" quotePrefix="1" applyFont="1" applyBorder="1" applyAlignment="1">
      <alignment vertical="center" wrapText="1"/>
    </xf>
    <xf numFmtId="166" fontId="24" fillId="0" borderId="1" xfId="2" applyNumberFormat="1" applyFont="1" applyBorder="1" applyAlignment="1">
      <alignment vertical="center"/>
    </xf>
    <xf numFmtId="0" fontId="22" fillId="0" borderId="1" xfId="0" applyFont="1" applyBorder="1" applyAlignment="1">
      <alignment vertical="center"/>
    </xf>
    <xf numFmtId="3" fontId="22" fillId="0" borderId="1" xfId="0" applyNumberFormat="1" applyFont="1" applyBorder="1" applyAlignment="1">
      <alignment vertical="center"/>
    </xf>
    <xf numFmtId="37" fontId="24" fillId="0" borderId="1" xfId="0" applyNumberFormat="1" applyFont="1" applyBorder="1" applyAlignment="1">
      <alignment horizontal="center" vertical="center"/>
    </xf>
    <xf numFmtId="166" fontId="22" fillId="0" borderId="1" xfId="2" applyNumberFormat="1" applyFont="1" applyBorder="1" applyAlignment="1">
      <alignment vertical="center" wrapText="1"/>
    </xf>
    <xf numFmtId="166" fontId="24" fillId="0" borderId="1" xfId="2" applyNumberFormat="1" applyFont="1" applyBorder="1" applyAlignment="1">
      <alignment vertical="center" wrapText="1"/>
    </xf>
    <xf numFmtId="166" fontId="24" fillId="0" borderId="1" xfId="2" applyNumberFormat="1" applyFont="1" applyBorder="1" applyAlignment="1">
      <alignment wrapText="1"/>
    </xf>
    <xf numFmtId="165" fontId="24" fillId="0" borderId="1" xfId="2" applyFont="1" applyBorder="1"/>
    <xf numFmtId="166" fontId="24" fillId="0" borderId="1" xfId="0" applyNumberFormat="1" applyFont="1" applyBorder="1"/>
    <xf numFmtId="3" fontId="24" fillId="0" borderId="1" xfId="0" applyNumberFormat="1" applyFont="1" applyBorder="1"/>
    <xf numFmtId="0" fontId="76" fillId="5" borderId="0" xfId="0" applyFont="1" applyFill="1" applyAlignment="1">
      <alignment vertical="center"/>
    </xf>
    <xf numFmtId="167" fontId="77" fillId="5" borderId="0" xfId="2" applyNumberFormat="1" applyFont="1" applyFill="1" applyAlignment="1">
      <alignment vertical="center"/>
    </xf>
    <xf numFmtId="0" fontId="75" fillId="5" borderId="0" xfId="0" applyFont="1" applyFill="1" applyAlignment="1">
      <alignment vertical="center"/>
    </xf>
    <xf numFmtId="0" fontId="77" fillId="5" borderId="0" xfId="0" applyFont="1" applyFill="1" applyAlignment="1">
      <alignment vertical="center"/>
    </xf>
    <xf numFmtId="167" fontId="75" fillId="5" borderId="0" xfId="2" applyNumberFormat="1" applyFont="1" applyFill="1" applyAlignment="1">
      <alignment vertical="center"/>
    </xf>
    <xf numFmtId="166" fontId="75" fillId="5" borderId="0" xfId="2" applyNumberFormat="1" applyFont="1" applyFill="1" applyAlignment="1">
      <alignment vertical="center"/>
    </xf>
    <xf numFmtId="173" fontId="75" fillId="5" borderId="0" xfId="0" applyNumberFormat="1" applyFont="1" applyFill="1" applyAlignment="1">
      <alignment vertical="center"/>
    </xf>
    <xf numFmtId="166" fontId="75" fillId="5" borderId="0" xfId="0" applyNumberFormat="1" applyFont="1" applyFill="1" applyAlignment="1">
      <alignment vertical="center"/>
    </xf>
    <xf numFmtId="167" fontId="22" fillId="5" borderId="6" xfId="2" applyNumberFormat="1" applyFont="1" applyFill="1" applyBorder="1" applyAlignment="1">
      <alignment horizontal="center" vertical="center" wrapText="1"/>
    </xf>
    <xf numFmtId="173" fontId="22" fillId="5" borderId="1" xfId="2" applyNumberFormat="1" applyFont="1" applyFill="1" applyBorder="1" applyAlignment="1">
      <alignment horizontal="center" vertical="center" wrapText="1"/>
    </xf>
    <xf numFmtId="173" fontId="22" fillId="5" borderId="1" xfId="2" quotePrefix="1" applyNumberFormat="1" applyFont="1" applyFill="1" applyBorder="1" applyAlignment="1">
      <alignment horizontal="center" vertical="center" wrapText="1"/>
    </xf>
    <xf numFmtId="0" fontId="5" fillId="0" borderId="1" xfId="0" applyFont="1" applyBorder="1" applyAlignment="1">
      <alignment horizontal="center"/>
    </xf>
    <xf numFmtId="167" fontId="22" fillId="5" borderId="1" xfId="2" applyNumberFormat="1" applyFont="1" applyFill="1" applyBorder="1" applyAlignment="1">
      <alignment horizontal="center" vertical="center" wrapText="1"/>
    </xf>
    <xf numFmtId="166" fontId="22" fillId="5" borderId="1" xfId="2" applyNumberFormat="1" applyFont="1" applyFill="1" applyBorder="1" applyAlignment="1">
      <alignment horizontal="center" vertical="center" wrapText="1"/>
    </xf>
    <xf numFmtId="173" fontId="22" fillId="5" borderId="6" xfId="2" applyNumberFormat="1" applyFont="1" applyFill="1" applyBorder="1" applyAlignment="1">
      <alignment horizontal="center" vertical="center" wrapText="1"/>
    </xf>
    <xf numFmtId="0" fontId="24" fillId="5" borderId="1" xfId="0" quotePrefix="1" applyFont="1" applyFill="1" applyBorder="1" applyAlignment="1">
      <alignment horizontal="center" vertical="center" shrinkToFit="1"/>
    </xf>
    <xf numFmtId="0" fontId="24" fillId="5" borderId="1" xfId="0" applyFont="1" applyFill="1" applyBorder="1" applyAlignment="1">
      <alignment vertical="center" shrinkToFit="1"/>
    </xf>
    <xf numFmtId="167" fontId="24" fillId="5" borderId="1" xfId="2" applyNumberFormat="1" applyFont="1" applyFill="1" applyBorder="1" applyAlignment="1">
      <alignment horizontal="center" vertical="center" wrapText="1"/>
    </xf>
    <xf numFmtId="167" fontId="24" fillId="5" borderId="1" xfId="0" applyNumberFormat="1" applyFont="1" applyFill="1" applyBorder="1" applyAlignment="1">
      <alignment horizontal="center" vertical="center" wrapText="1"/>
    </xf>
    <xf numFmtId="0" fontId="24" fillId="5" borderId="1" xfId="0" applyFont="1" applyFill="1" applyBorder="1" applyAlignment="1">
      <alignment horizontal="center" vertical="center" wrapText="1"/>
    </xf>
    <xf numFmtId="173" fontId="24" fillId="5" borderId="1" xfId="2" applyNumberFormat="1" applyFont="1" applyFill="1" applyBorder="1" applyAlignment="1">
      <alignment horizontal="center" vertical="center" wrapText="1"/>
    </xf>
    <xf numFmtId="173" fontId="24" fillId="5" borderId="1" xfId="2" quotePrefix="1" applyNumberFormat="1" applyFont="1" applyFill="1" applyBorder="1" applyAlignment="1">
      <alignment horizontal="center" vertical="center" wrapText="1"/>
    </xf>
    <xf numFmtId="173" fontId="24" fillId="5" borderId="1" xfId="0" applyNumberFormat="1" applyFont="1" applyFill="1" applyBorder="1" applyAlignment="1">
      <alignment horizontal="center" vertical="center" wrapText="1"/>
    </xf>
    <xf numFmtId="0" fontId="24" fillId="5" borderId="1" xfId="0" applyFont="1" applyFill="1" applyBorder="1" applyAlignment="1">
      <alignment vertical="center" wrapText="1" shrinkToFit="1"/>
    </xf>
    <xf numFmtId="167" fontId="22" fillId="5" borderId="1" xfId="2" quotePrefix="1" applyNumberFormat="1" applyFont="1" applyFill="1" applyBorder="1" applyAlignment="1">
      <alignment horizontal="center" vertical="center" shrinkToFit="1"/>
    </xf>
    <xf numFmtId="167" fontId="22" fillId="5" borderId="1" xfId="2" applyNumberFormat="1" applyFont="1" applyFill="1" applyBorder="1" applyAlignment="1">
      <alignment vertical="center" shrinkToFit="1"/>
    </xf>
    <xf numFmtId="173" fontId="24" fillId="5" borderId="1" xfId="0" quotePrefix="1" applyNumberFormat="1" applyFont="1" applyFill="1" applyBorder="1" applyAlignment="1">
      <alignment horizontal="center" vertical="center" wrapText="1"/>
    </xf>
    <xf numFmtId="0" fontId="22" fillId="5" borderId="1" xfId="0" quotePrefix="1" applyFont="1" applyFill="1" applyBorder="1" applyAlignment="1">
      <alignment horizontal="center" vertical="center" shrinkToFit="1"/>
    </xf>
    <xf numFmtId="0" fontId="22" fillId="5" borderId="1" xfId="0" applyFont="1" applyFill="1" applyBorder="1" applyAlignment="1">
      <alignment vertical="center" shrinkToFit="1"/>
    </xf>
    <xf numFmtId="167" fontId="22" fillId="5" borderId="1" xfId="0" applyNumberFormat="1" applyFont="1" applyFill="1" applyBorder="1" applyAlignment="1">
      <alignment horizontal="center" vertical="center" wrapText="1"/>
    </xf>
    <xf numFmtId="0" fontId="22" fillId="5" borderId="1" xfId="0" applyFont="1" applyFill="1" applyBorder="1" applyAlignment="1">
      <alignment horizontal="center" vertical="center" wrapText="1"/>
    </xf>
    <xf numFmtId="173" fontId="22" fillId="5" borderId="1" xfId="0" quotePrefix="1" applyNumberFormat="1" applyFont="1" applyFill="1" applyBorder="1" applyAlignment="1">
      <alignment horizontal="center" vertical="center" wrapText="1"/>
    </xf>
    <xf numFmtId="0" fontId="48" fillId="0" borderId="1" xfId="0" applyFont="1" applyBorder="1" applyAlignment="1">
      <alignment vertical="center"/>
    </xf>
    <xf numFmtId="0" fontId="2" fillId="0" borderId="1" xfId="0" applyFont="1" applyBorder="1" applyAlignment="1">
      <alignment vertical="center"/>
    </xf>
    <xf numFmtId="168" fontId="5" fillId="0" borderId="1" xfId="2" applyNumberFormat="1" applyFont="1" applyFill="1" applyBorder="1"/>
    <xf numFmtId="3" fontId="5" fillId="0" borderId="1" xfId="2" applyNumberFormat="1" applyFont="1" applyFill="1" applyBorder="1"/>
    <xf numFmtId="167" fontId="5" fillId="0" borderId="1" xfId="0" applyNumberFormat="1" applyFont="1" applyBorder="1"/>
    <xf numFmtId="168" fontId="5" fillId="0" borderId="1" xfId="0" applyNumberFormat="1" applyFont="1" applyBorder="1"/>
    <xf numFmtId="0" fontId="2" fillId="0" borderId="1" xfId="0" quotePrefix="1" applyFont="1" applyBorder="1" applyAlignment="1">
      <alignment horizontal="center"/>
    </xf>
    <xf numFmtId="0" fontId="2" fillId="0" borderId="1" xfId="0" applyFont="1" applyBorder="1"/>
    <xf numFmtId="168" fontId="2" fillId="0" borderId="1" xfId="2" applyNumberFormat="1" applyFont="1" applyFill="1" applyBorder="1"/>
    <xf numFmtId="3" fontId="2" fillId="0" borderId="1" xfId="2" applyNumberFormat="1" applyFont="1" applyFill="1" applyBorder="1"/>
    <xf numFmtId="168" fontId="2" fillId="4" borderId="1" xfId="0" applyNumberFormat="1" applyFont="1" applyFill="1" applyBorder="1"/>
    <xf numFmtId="1" fontId="2" fillId="0" borderId="1" xfId="0" applyNumberFormat="1" applyFont="1" applyBorder="1"/>
    <xf numFmtId="0" fontId="2" fillId="0" borderId="1" xfId="0" applyFont="1" applyBorder="1" applyAlignment="1">
      <alignment wrapText="1"/>
    </xf>
    <xf numFmtId="0" fontId="5" fillId="0" borderId="1" xfId="0" applyFont="1" applyBorder="1"/>
    <xf numFmtId="0" fontId="6" fillId="0" borderId="1" xfId="0" applyFont="1" applyBorder="1" applyAlignment="1">
      <alignment horizontal="center"/>
    </xf>
    <xf numFmtId="0" fontId="6" fillId="0" borderId="1" xfId="0" applyFont="1" applyBorder="1"/>
    <xf numFmtId="168" fontId="6" fillId="0" borderId="1" xfId="2" applyNumberFormat="1" applyFont="1" applyFill="1" applyBorder="1"/>
    <xf numFmtId="3" fontId="6" fillId="0" borderId="1" xfId="2" applyNumberFormat="1" applyFont="1" applyFill="1" applyBorder="1"/>
    <xf numFmtId="3" fontId="6" fillId="0" borderId="1" xfId="2" applyNumberFormat="1" applyFont="1" applyFill="1" applyBorder="1" applyAlignment="1">
      <alignment horizontal="right"/>
    </xf>
    <xf numFmtId="0" fontId="6" fillId="0" borderId="1" xfId="0" quotePrefix="1" applyFont="1" applyBorder="1"/>
    <xf numFmtId="0" fontId="2" fillId="0" borderId="1" xfId="0" applyFont="1" applyBorder="1" applyAlignment="1">
      <alignment horizontal="left"/>
    </xf>
    <xf numFmtId="168" fontId="2" fillId="0" borderId="1" xfId="0" applyNumberFormat="1" applyFont="1" applyBorder="1"/>
    <xf numFmtId="0" fontId="2" fillId="0" borderId="1" xfId="0" applyFont="1" applyBorder="1" applyAlignment="1">
      <alignment horizontal="left" vertical="center" wrapText="1"/>
    </xf>
    <xf numFmtId="0" fontId="2" fillId="0" borderId="1" xfId="0" applyFont="1" applyBorder="1" applyAlignment="1">
      <alignment horizontal="left" wrapText="1"/>
    </xf>
    <xf numFmtId="168" fontId="2" fillId="0" borderId="1" xfId="0" applyNumberFormat="1" applyFont="1" applyBorder="1" applyAlignment="1">
      <alignment horizontal="left" wrapText="1"/>
    </xf>
    <xf numFmtId="0" fontId="13" fillId="0" borderId="1" xfId="0" applyFont="1" applyBorder="1" applyAlignment="1">
      <alignment horizontal="center" vertical="center"/>
    </xf>
    <xf numFmtId="0" fontId="13" fillId="0" borderId="1" xfId="0" applyFont="1" applyBorder="1" applyAlignment="1">
      <alignment vertical="center"/>
    </xf>
    <xf numFmtId="168" fontId="13" fillId="0" borderId="1" xfId="2" applyNumberFormat="1" applyFont="1" applyFill="1" applyBorder="1" applyAlignment="1">
      <alignment vertical="center"/>
    </xf>
    <xf numFmtId="3" fontId="13" fillId="0" borderId="1" xfId="2" applyNumberFormat="1" applyFont="1" applyFill="1" applyBorder="1" applyAlignment="1">
      <alignment vertical="center"/>
    </xf>
    <xf numFmtId="168" fontId="13" fillId="0" borderId="1" xfId="0" applyNumberFormat="1" applyFont="1" applyBorder="1" applyAlignment="1">
      <alignment vertical="center"/>
    </xf>
    <xf numFmtId="0" fontId="2" fillId="0" borderId="1" xfId="0" applyFont="1" applyBorder="1" applyAlignment="1">
      <alignment horizontal="center" vertical="center"/>
    </xf>
    <xf numFmtId="168" fontId="2" fillId="0" borderId="1" xfId="2" applyNumberFormat="1" applyFont="1" applyFill="1" applyBorder="1" applyAlignment="1">
      <alignment vertical="center"/>
    </xf>
    <xf numFmtId="3" fontId="2" fillId="0" borderId="1" xfId="2" applyNumberFormat="1" applyFont="1" applyFill="1" applyBorder="1" applyAlignment="1">
      <alignment vertical="center"/>
    </xf>
    <xf numFmtId="168" fontId="2" fillId="0" borderId="1" xfId="0" applyNumberFormat="1" applyFont="1" applyBorder="1" applyAlignment="1">
      <alignment vertical="center"/>
    </xf>
    <xf numFmtId="0" fontId="2" fillId="0" borderId="1" xfId="0" quotePrefix="1" applyFont="1" applyBorder="1" applyAlignment="1">
      <alignment vertical="center" wrapText="1"/>
    </xf>
    <xf numFmtId="0" fontId="2" fillId="0" borderId="1" xfId="0" quotePrefix="1" applyFont="1" applyBorder="1"/>
    <xf numFmtId="169" fontId="2" fillId="0" borderId="1" xfId="0" applyNumberFormat="1" applyFont="1" applyBorder="1"/>
    <xf numFmtId="3" fontId="2" fillId="0" borderId="1" xfId="0" applyNumberFormat="1" applyFont="1" applyBorder="1"/>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34" fillId="0" borderId="1" xfId="0" applyFont="1" applyBorder="1" applyAlignment="1">
      <alignment horizontal="center" vertical="center" wrapText="1"/>
    </xf>
    <xf numFmtId="168" fontId="6" fillId="0" borderId="1" xfId="0" applyNumberFormat="1" applyFont="1" applyBorder="1" applyAlignment="1">
      <alignment horizontal="center"/>
    </xf>
    <xf numFmtId="169" fontId="6" fillId="0" borderId="1" xfId="0" applyNumberFormat="1" applyFont="1" applyBorder="1" applyAlignment="1">
      <alignment horizontal="center"/>
    </xf>
    <xf numFmtId="3" fontId="6" fillId="0" borderId="1" xfId="0" applyNumberFormat="1" applyFont="1" applyBorder="1" applyAlignment="1">
      <alignment horizontal="center"/>
    </xf>
    <xf numFmtId="167" fontId="13" fillId="0" borderId="0" xfId="0" applyNumberFormat="1" applyFont="1"/>
    <xf numFmtId="0" fontId="13" fillId="0" borderId="0" xfId="0" applyFont="1" applyAlignment="1">
      <alignment horizontal="right"/>
    </xf>
    <xf numFmtId="0" fontId="33" fillId="0" borderId="1" xfId="0" applyFont="1" applyBorder="1" applyAlignment="1">
      <alignment horizontal="center" vertical="center" wrapText="1"/>
    </xf>
    <xf numFmtId="0" fontId="52" fillId="0" borderId="1" xfId="0" applyFont="1" applyBorder="1" applyAlignment="1">
      <alignment horizontal="center"/>
    </xf>
    <xf numFmtId="0" fontId="32" fillId="0" borderId="0" xfId="0" applyFont="1" applyAlignment="1">
      <alignment horizontal="center"/>
    </xf>
    <xf numFmtId="2" fontId="24" fillId="0" borderId="0" xfId="0" applyNumberFormat="1" applyFont="1"/>
    <xf numFmtId="165" fontId="24" fillId="5" borderId="1" xfId="2" applyFont="1" applyFill="1" applyBorder="1" applyAlignment="1">
      <alignment vertical="center"/>
    </xf>
    <xf numFmtId="37" fontId="24" fillId="5" borderId="1" xfId="2" applyNumberFormat="1" applyFont="1" applyFill="1" applyBorder="1" applyAlignment="1">
      <alignment horizontal="right" vertical="center"/>
    </xf>
    <xf numFmtId="37" fontId="24" fillId="5" borderId="1" xfId="0" applyNumberFormat="1" applyFont="1" applyFill="1" applyBorder="1" applyAlignment="1">
      <alignment vertical="center" wrapText="1"/>
    </xf>
    <xf numFmtId="37" fontId="24" fillId="5" borderId="3" xfId="0" applyNumberFormat="1" applyFont="1" applyFill="1" applyBorder="1" applyAlignment="1">
      <alignment vertical="center"/>
    </xf>
    <xf numFmtId="0" fontId="17" fillId="0" borderId="4" xfId="0" applyFont="1" applyBorder="1" applyAlignment="1">
      <alignment horizontal="left" vertical="center" wrapText="1"/>
    </xf>
    <xf numFmtId="0" fontId="17" fillId="0" borderId="6" xfId="0" applyFont="1" applyBorder="1" applyAlignment="1">
      <alignment horizontal="left" vertical="center" wrapText="1"/>
    </xf>
    <xf numFmtId="0" fontId="15" fillId="0" borderId="7" xfId="0" applyFont="1" applyBorder="1" applyAlignment="1">
      <alignment horizontal="center" vertical="center" wrapText="1"/>
    </xf>
    <xf numFmtId="0" fontId="15" fillId="0" borderId="0" xfId="0" applyFont="1" applyAlignment="1">
      <alignment horizontal="center" vertical="center"/>
    </xf>
    <xf numFmtId="0" fontId="17" fillId="0" borderId="5" xfId="0" applyFont="1" applyBorder="1" applyAlignment="1">
      <alignment horizontal="left" vertical="center" wrapText="1"/>
    </xf>
    <xf numFmtId="0" fontId="1" fillId="0" borderId="0" xfId="0" applyFont="1" applyAlignment="1">
      <alignment horizontal="righ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8" fillId="0" borderId="0" xfId="0" applyFont="1" applyAlignment="1">
      <alignment horizontal="right" vertical="center" wrapText="1"/>
    </xf>
    <xf numFmtId="0" fontId="12"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left" wrapText="1"/>
    </xf>
    <xf numFmtId="0" fontId="6" fillId="0" borderId="0" xfId="0" applyFont="1" applyAlignment="1">
      <alignment horizontal="center" vertical="center"/>
    </xf>
    <xf numFmtId="0" fontId="23" fillId="0" borderId="0" xfId="0" applyFont="1" applyAlignment="1">
      <alignment horizontal="center" vertical="center" wrapText="1"/>
    </xf>
    <xf numFmtId="0" fontId="10" fillId="0" borderId="0" xfId="0" applyFont="1" applyAlignment="1">
      <alignment horizontal="left" vertical="center" wrapText="1"/>
    </xf>
    <xf numFmtId="0" fontId="41" fillId="0" borderId="0" xfId="0" applyFont="1" applyAlignment="1">
      <alignment horizontal="left"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49" fillId="0" borderId="0" xfId="0" applyFont="1" applyAlignment="1">
      <alignment horizontal="center" vertical="center" wrapText="1"/>
    </xf>
    <xf numFmtId="0" fontId="17" fillId="0" borderId="1" xfId="0" applyFont="1" applyBorder="1" applyAlignment="1">
      <alignment horizontal="center" vertical="center" wrapText="1"/>
    </xf>
    <xf numFmtId="0" fontId="19" fillId="0" borderId="0" xfId="0" applyFont="1" applyAlignment="1">
      <alignment horizontal="center" vertical="center" wrapText="1"/>
    </xf>
    <xf numFmtId="0" fontId="18" fillId="0" borderId="0" xfId="0" applyFont="1" applyAlignment="1">
      <alignment horizontal="left" vertical="center" wrapText="1"/>
    </xf>
    <xf numFmtId="0" fontId="16" fillId="0" borderId="0" xfId="0" applyFont="1" applyAlignment="1">
      <alignment horizontal="left"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6" fillId="0" borderId="0" xfId="0" applyFont="1" applyAlignment="1">
      <alignment horizontal="left" vertical="center"/>
    </xf>
    <xf numFmtId="0" fontId="19" fillId="0" borderId="0" xfId="0" applyFont="1" applyAlignment="1">
      <alignment horizontal="center" vertical="center"/>
    </xf>
    <xf numFmtId="0" fontId="62" fillId="0" borderId="0" xfId="0" applyFont="1" applyAlignment="1">
      <alignment horizontal="right"/>
    </xf>
    <xf numFmtId="0" fontId="74" fillId="0" borderId="0" xfId="0" applyFont="1" applyAlignment="1">
      <alignment horizontal="center"/>
    </xf>
    <xf numFmtId="0" fontId="62" fillId="0" borderId="7" xfId="0" applyFont="1" applyBorder="1" applyAlignment="1">
      <alignment horizontal="right"/>
    </xf>
    <xf numFmtId="0" fontId="67" fillId="0" borderId="4" xfId="0" applyFont="1" applyBorder="1" applyAlignment="1">
      <alignment horizontal="center" vertical="center" wrapText="1"/>
    </xf>
    <xf numFmtId="0" fontId="67" fillId="0" borderId="5" xfId="0" applyFont="1" applyBorder="1" applyAlignment="1">
      <alignment horizontal="center" vertical="center" wrapText="1"/>
    </xf>
    <xf numFmtId="0" fontId="67" fillId="0" borderId="6" xfId="0" applyFont="1" applyBorder="1" applyAlignment="1">
      <alignment horizontal="center" vertical="center" wrapText="1"/>
    </xf>
    <xf numFmtId="0" fontId="67" fillId="0" borderId="4" xfId="0" applyFont="1" applyBorder="1" applyAlignment="1">
      <alignment horizontal="center" vertical="center"/>
    </xf>
    <xf numFmtId="0" fontId="67" fillId="0" borderId="5" xfId="0" applyFont="1" applyBorder="1" applyAlignment="1">
      <alignment horizontal="center" vertical="center"/>
    </xf>
    <xf numFmtId="0" fontId="67" fillId="0" borderId="6" xfId="0" applyFont="1" applyBorder="1" applyAlignment="1">
      <alignment horizontal="center" vertical="center"/>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0" fontId="78" fillId="0" borderId="0" xfId="0" applyFont="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6" fillId="0" borderId="0" xfId="0" applyFont="1" applyAlignment="1">
      <alignment horizontal="right" vertical="center"/>
    </xf>
    <xf numFmtId="0" fontId="16" fillId="0" borderId="7" xfId="0" applyFont="1" applyBorder="1" applyAlignment="1">
      <alignment horizontal="right" vertical="center"/>
    </xf>
    <xf numFmtId="0" fontId="15" fillId="0" borderId="5"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9" xfId="0" applyFont="1" applyBorder="1" applyAlignment="1">
      <alignment horizontal="center" vertical="center" wrapText="1"/>
    </xf>
    <xf numFmtId="0" fontId="0" fillId="0" borderId="8" xfId="0" applyBorder="1"/>
    <xf numFmtId="0" fontId="0" fillId="0" borderId="9" xfId="0" applyBorder="1"/>
    <xf numFmtId="0" fontId="23" fillId="0" borderId="0" xfId="0" applyFont="1" applyAlignment="1">
      <alignment horizontal="right"/>
    </xf>
    <xf numFmtId="0" fontId="3" fillId="0" borderId="0" xfId="0" applyFont="1" applyAlignment="1">
      <alignment horizontal="center"/>
    </xf>
    <xf numFmtId="168" fontId="5" fillId="0" borderId="1" xfId="0" applyNumberFormat="1" applyFont="1" applyBorder="1" applyAlignment="1">
      <alignment horizontal="center" vertical="center" wrapText="1"/>
    </xf>
    <xf numFmtId="168" fontId="5" fillId="0" borderId="3" xfId="0" applyNumberFormat="1" applyFont="1" applyBorder="1" applyAlignment="1">
      <alignment horizontal="center" vertical="center" wrapText="1"/>
    </xf>
    <xf numFmtId="168" fontId="5" fillId="0" borderId="8" xfId="0" applyNumberFormat="1" applyFont="1" applyBorder="1" applyAlignment="1">
      <alignment horizontal="center" vertical="center" wrapText="1"/>
    </xf>
    <xf numFmtId="168" fontId="5" fillId="0" borderId="9"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169" fontId="5" fillId="0" borderId="4" xfId="0" applyNumberFormat="1" applyFont="1" applyBorder="1" applyAlignment="1">
      <alignment horizontal="center" vertical="center" wrapText="1"/>
    </xf>
    <xf numFmtId="169" fontId="5" fillId="0" borderId="5" xfId="0" applyNumberFormat="1" applyFont="1" applyBorder="1" applyAlignment="1">
      <alignment horizontal="center" vertical="center" wrapText="1"/>
    </xf>
    <xf numFmtId="169" fontId="5" fillId="0" borderId="6" xfId="0" applyNumberFormat="1" applyFont="1" applyBorder="1" applyAlignment="1">
      <alignment horizontal="center" vertical="center" wrapText="1"/>
    </xf>
    <xf numFmtId="168" fontId="5" fillId="0" borderId="5" xfId="0" applyNumberFormat="1" applyFont="1" applyBorder="1" applyAlignment="1">
      <alignment horizontal="center" vertical="center" wrapText="1"/>
    </xf>
    <xf numFmtId="168" fontId="5" fillId="0" borderId="6" xfId="0" applyNumberFormat="1" applyFont="1" applyBorder="1" applyAlignment="1">
      <alignment horizontal="center" vertical="center" wrapText="1"/>
    </xf>
    <xf numFmtId="168" fontId="5" fillId="0" borderId="12" xfId="0" applyNumberFormat="1" applyFont="1" applyBorder="1" applyAlignment="1">
      <alignment horizontal="center" vertical="center" wrapText="1"/>
    </xf>
    <xf numFmtId="168" fontId="5" fillId="0" borderId="10" xfId="0" applyNumberFormat="1" applyFont="1" applyBorder="1" applyAlignment="1">
      <alignment horizontal="center" vertical="center" wrapText="1"/>
    </xf>
    <xf numFmtId="168" fontId="5" fillId="0" borderId="13" xfId="0" applyNumberFormat="1" applyFont="1" applyBorder="1" applyAlignment="1">
      <alignment horizontal="center" vertical="center" wrapText="1"/>
    </xf>
    <xf numFmtId="168" fontId="5" fillId="0" borderId="11" xfId="0" applyNumberFormat="1" applyFont="1" applyBorder="1" applyAlignment="1">
      <alignment horizontal="center" vertical="center" wrapText="1"/>
    </xf>
    <xf numFmtId="169" fontId="5" fillId="0" borderId="3" xfId="0" applyNumberFormat="1" applyFont="1" applyBorder="1" applyAlignment="1">
      <alignment horizontal="center" vertical="center"/>
    </xf>
    <xf numFmtId="169" fontId="5" fillId="0" borderId="8" xfId="0" applyNumberFormat="1" applyFont="1" applyBorder="1" applyAlignment="1">
      <alignment horizontal="center" vertical="center"/>
    </xf>
    <xf numFmtId="169" fontId="5" fillId="0" borderId="9" xfId="0" applyNumberFormat="1" applyFont="1" applyBorder="1" applyAlignment="1">
      <alignment horizontal="center" vertical="center"/>
    </xf>
    <xf numFmtId="3" fontId="5" fillId="0" borderId="4"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169" fontId="5" fillId="0" borderId="12" xfId="0" applyNumberFormat="1" applyFont="1" applyBorder="1" applyAlignment="1">
      <alignment horizontal="center" vertical="center"/>
    </xf>
    <xf numFmtId="169" fontId="5" fillId="0" borderId="0" xfId="0" applyNumberFormat="1" applyFont="1" applyAlignment="1">
      <alignment horizontal="center" vertical="center"/>
    </xf>
    <xf numFmtId="169" fontId="5" fillId="0" borderId="13" xfId="0" applyNumberFormat="1" applyFont="1" applyBorder="1" applyAlignment="1">
      <alignment horizontal="center" vertical="center"/>
    </xf>
    <xf numFmtId="0" fontId="60" fillId="5" borderId="0" xfId="0" applyFont="1" applyFill="1" applyAlignment="1">
      <alignment horizontal="center" vertical="center"/>
    </xf>
    <xf numFmtId="173" fontId="23" fillId="0" borderId="0" xfId="0" applyNumberFormat="1" applyFont="1" applyAlignment="1">
      <alignment horizontal="right"/>
    </xf>
    <xf numFmtId="0" fontId="61" fillId="5" borderId="0" xfId="0" applyFont="1" applyFill="1" applyAlignment="1">
      <alignment horizontal="center" vertical="center"/>
    </xf>
    <xf numFmtId="173" fontId="62" fillId="5" borderId="7" xfId="0" applyNumberFormat="1" applyFont="1" applyFill="1" applyBorder="1" applyAlignment="1">
      <alignment horizontal="right" vertical="center"/>
    </xf>
    <xf numFmtId="0" fontId="61" fillId="5" borderId="8" xfId="0" applyFont="1" applyFill="1" applyBorder="1" applyAlignment="1">
      <alignment horizontal="center" vertical="center" wrapText="1"/>
    </xf>
    <xf numFmtId="0" fontId="61" fillId="5" borderId="9" xfId="0" applyFont="1" applyFill="1" applyBorder="1" applyAlignment="1">
      <alignment horizontal="center" vertical="center" wrapText="1"/>
    </xf>
    <xf numFmtId="0" fontId="61" fillId="5" borderId="1" xfId="0" applyFont="1" applyFill="1" applyBorder="1" applyAlignment="1">
      <alignment horizontal="center" vertical="center" wrapText="1"/>
    </xf>
    <xf numFmtId="168" fontId="63" fillId="0" borderId="4" xfId="0" applyNumberFormat="1" applyFont="1" applyBorder="1" applyAlignment="1">
      <alignment horizontal="center" vertical="center" wrapText="1"/>
    </xf>
    <xf numFmtId="168" fontId="63" fillId="0" borderId="5" xfId="0" applyNumberFormat="1" applyFont="1" applyBorder="1" applyAlignment="1">
      <alignment horizontal="center" vertical="center" wrapText="1"/>
    </xf>
    <xf numFmtId="168" fontId="63" fillId="0" borderId="6" xfId="0" applyNumberFormat="1" applyFont="1" applyBorder="1" applyAlignment="1">
      <alignment horizontal="center" vertical="center" wrapText="1"/>
    </xf>
    <xf numFmtId="173" fontId="61" fillId="5" borderId="4" xfId="2" applyNumberFormat="1" applyFont="1" applyFill="1" applyBorder="1" applyAlignment="1">
      <alignment horizontal="center" vertical="center" wrapText="1"/>
    </xf>
    <xf numFmtId="173" fontId="61" fillId="5" borderId="5" xfId="2" applyNumberFormat="1" applyFont="1" applyFill="1" applyBorder="1" applyAlignment="1">
      <alignment horizontal="center" vertical="center" wrapText="1"/>
    </xf>
    <xf numFmtId="173" fontId="61" fillId="5" borderId="6" xfId="2" applyNumberFormat="1" applyFont="1" applyFill="1" applyBorder="1" applyAlignment="1">
      <alignment horizontal="center" vertical="center" wrapText="1"/>
    </xf>
    <xf numFmtId="167" fontId="61" fillId="5" borderId="5" xfId="2" applyNumberFormat="1" applyFont="1" applyFill="1" applyBorder="1" applyAlignment="1">
      <alignment horizontal="center" vertical="center" wrapText="1"/>
    </xf>
    <xf numFmtId="167" fontId="61" fillId="5" borderId="6" xfId="2" applyNumberFormat="1" applyFont="1" applyFill="1" applyBorder="1" applyAlignment="1">
      <alignment horizontal="center" vertical="center" wrapText="1"/>
    </xf>
    <xf numFmtId="9" fontId="61" fillId="5" borderId="5" xfId="0" applyNumberFormat="1" applyFont="1" applyFill="1" applyBorder="1" applyAlignment="1">
      <alignment horizontal="center" vertical="center" wrapText="1"/>
    </xf>
    <xf numFmtId="0" fontId="61" fillId="5" borderId="6" xfId="0" applyFont="1" applyFill="1" applyBorder="1" applyAlignment="1">
      <alignment horizontal="center" vertical="center" wrapText="1"/>
    </xf>
    <xf numFmtId="173" fontId="61" fillId="5" borderId="3" xfId="0" applyNumberFormat="1" applyFont="1" applyFill="1" applyBorder="1" applyAlignment="1">
      <alignment horizontal="center" vertical="center" wrapText="1"/>
    </xf>
    <xf numFmtId="173" fontId="61" fillId="5" borderId="8" xfId="0" applyNumberFormat="1" applyFont="1" applyFill="1" applyBorder="1" applyAlignment="1">
      <alignment horizontal="center" vertical="center" wrapText="1"/>
    </xf>
    <xf numFmtId="173" fontId="61" fillId="5" borderId="9" xfId="0" applyNumberFormat="1" applyFont="1" applyFill="1" applyBorder="1" applyAlignment="1">
      <alignment horizontal="center" vertical="center" wrapText="1"/>
    </xf>
    <xf numFmtId="173" fontId="61" fillId="5" borderId="1" xfId="2" applyNumberFormat="1" applyFont="1" applyFill="1" applyBorder="1" applyAlignment="1">
      <alignment horizontal="center" vertical="center" wrapText="1"/>
    </xf>
    <xf numFmtId="173" fontId="61" fillId="5" borderId="4" xfId="0" applyNumberFormat="1" applyFont="1" applyFill="1" applyBorder="1" applyAlignment="1">
      <alignment horizontal="center" vertical="center" wrapText="1"/>
    </xf>
    <xf numFmtId="173" fontId="61" fillId="5" borderId="6" xfId="0" applyNumberFormat="1" applyFont="1" applyFill="1" applyBorder="1" applyAlignment="1">
      <alignment horizontal="center" vertical="center" wrapText="1"/>
    </xf>
    <xf numFmtId="173" fontId="61" fillId="5" borderId="1" xfId="0" applyNumberFormat="1"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4" fillId="0" borderId="1" xfId="0" applyFont="1" applyBorder="1" applyAlignment="1">
      <alignment horizontal="center" wrapText="1"/>
    </xf>
    <xf numFmtId="0" fontId="34" fillId="0" borderId="1" xfId="0" applyFont="1" applyBorder="1" applyAlignment="1">
      <alignment horizontal="center"/>
    </xf>
    <xf numFmtId="0" fontId="22" fillId="0" borderId="0" xfId="0" applyFont="1" applyAlignment="1">
      <alignment horizontal="center"/>
    </xf>
    <xf numFmtId="0" fontId="2" fillId="0" borderId="5" xfId="0" applyFont="1" applyBorder="1" applyAlignment="1">
      <alignment horizontal="center" vertical="center" wrapText="1"/>
    </xf>
    <xf numFmtId="0" fontId="23" fillId="0" borderId="7" xfId="0" applyFont="1" applyBorder="1" applyAlignment="1">
      <alignment horizontal="right"/>
    </xf>
    <xf numFmtId="0" fontId="22"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5" xfId="0" applyFont="1" applyBorder="1"/>
    <xf numFmtId="37" fontId="24" fillId="5" borderId="3" xfId="0" applyNumberFormat="1" applyFont="1" applyFill="1" applyBorder="1" applyAlignment="1">
      <alignment horizontal="center" vertical="center"/>
    </xf>
    <xf numFmtId="37" fontId="24" fillId="5" borderId="8" xfId="0" applyNumberFormat="1" applyFont="1" applyFill="1" applyBorder="1" applyAlignment="1">
      <alignment horizontal="center" vertical="center"/>
    </xf>
    <xf numFmtId="37" fontId="24" fillId="5" borderId="9" xfId="0" applyNumberFormat="1" applyFont="1" applyFill="1" applyBorder="1" applyAlignment="1">
      <alignment horizontal="center" vertical="center"/>
    </xf>
    <xf numFmtId="0" fontId="0" fillId="0" borderId="0" xfId="0" applyAlignment="1">
      <alignment horizontal="center" vertical="center" wrapText="1"/>
    </xf>
    <xf numFmtId="0" fontId="18" fillId="0" borderId="2" xfId="0" applyFont="1" applyBorder="1" applyAlignment="1">
      <alignment horizontal="left" vertical="center" wrapText="1"/>
    </xf>
    <xf numFmtId="171" fontId="22" fillId="0" borderId="1" xfId="3" applyNumberFormat="1" applyFont="1" applyBorder="1" applyAlignment="1">
      <alignment horizontal="center" vertical="center" wrapText="1"/>
    </xf>
    <xf numFmtId="171" fontId="22" fillId="0" borderId="0" xfId="3" applyNumberFormat="1" applyFont="1" applyAlignment="1">
      <alignment horizontal="center" vertical="center" wrapText="1"/>
    </xf>
    <xf numFmtId="171" fontId="23" fillId="0" borderId="0" xfId="3" applyNumberFormat="1" applyFont="1" applyAlignment="1">
      <alignment horizontal="center" vertical="center" wrapText="1"/>
    </xf>
    <xf numFmtId="171" fontId="23" fillId="0" borderId="7" xfId="3" applyNumberFormat="1" applyFont="1" applyBorder="1" applyAlignment="1">
      <alignment horizontal="right" vertical="center"/>
    </xf>
    <xf numFmtId="0" fontId="22" fillId="0" borderId="0" xfId="0" applyFont="1" applyAlignment="1">
      <alignment horizontal="center" vertical="center" wrapText="1"/>
    </xf>
  </cellXfs>
  <cellStyles count="22">
    <cellStyle name="Comma" xfId="2" builtinId="3"/>
    <cellStyle name="Comma 10 10" xfId="4"/>
    <cellStyle name="Comma 10 10 2" xfId="15"/>
    <cellStyle name="Comma 10 2 2" xfId="6"/>
    <cellStyle name="Comma 12" xfId="18"/>
    <cellStyle name="Comma 13" xfId="13"/>
    <cellStyle name="Comma 4" xfId="14"/>
    <cellStyle name="Comma 4 18" xfId="20"/>
    <cellStyle name="Comma 4 2" xfId="5"/>
    <cellStyle name="Comma 4 3" xfId="8"/>
    <cellStyle name="Comma 5" xfId="16"/>
    <cellStyle name="Comma 5 21 2 3" xfId="19"/>
    <cellStyle name="Hyperlink" xfId="1" builtinId="8"/>
    <cellStyle name="Normal" xfId="0" builtinId="0"/>
    <cellStyle name="Normal 10 2" xfId="17"/>
    <cellStyle name="Normal 18" xfId="7"/>
    <cellStyle name="Normal 2" xfId="10"/>
    <cellStyle name="Normal 2 10" xfId="11"/>
    <cellStyle name="Normal 58" xfId="21"/>
    <cellStyle name="Normal_Bieu mau (CV )" xfId="3"/>
    <cellStyle name="Normal_DT 2011 2" xfId="12"/>
    <cellStyle name="Normal_Sheet1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worksheet" Target="worksheets/sheet138.xml"/><Relationship Id="rId154" Type="http://schemas.openxmlformats.org/officeDocument/2006/relationships/worksheet" Target="worksheets/sheet154.xml"/><Relationship Id="rId159" Type="http://schemas.openxmlformats.org/officeDocument/2006/relationships/worksheet" Target="worksheets/sheet159.xml"/><Relationship Id="rId170"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144" Type="http://schemas.openxmlformats.org/officeDocument/2006/relationships/worksheet" Target="worksheets/sheet144.xml"/><Relationship Id="rId149" Type="http://schemas.openxmlformats.org/officeDocument/2006/relationships/worksheet" Target="worksheets/sheet14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60" Type="http://schemas.openxmlformats.org/officeDocument/2006/relationships/worksheet" Target="worksheets/sheet160.xml"/><Relationship Id="rId165" Type="http://schemas.openxmlformats.org/officeDocument/2006/relationships/externalLink" Target="externalLinks/externalLink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worksheet" Target="worksheets/sheet139.xml"/><Relationship Id="rId80" Type="http://schemas.openxmlformats.org/officeDocument/2006/relationships/worksheet" Target="worksheets/sheet80.xml"/><Relationship Id="rId85" Type="http://schemas.openxmlformats.org/officeDocument/2006/relationships/worksheet" Target="worksheets/sheet85.xml"/><Relationship Id="rId150" Type="http://schemas.openxmlformats.org/officeDocument/2006/relationships/worksheet" Target="worksheets/sheet150.xml"/><Relationship Id="rId155" Type="http://schemas.openxmlformats.org/officeDocument/2006/relationships/worksheet" Target="worksheets/sheet155.xml"/><Relationship Id="rId171" Type="http://schemas.openxmlformats.org/officeDocument/2006/relationships/sharedStrings" Target="sharedStrings.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worksheet" Target="worksheets/sheet161.xml"/><Relationship Id="rId16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143" Type="http://schemas.openxmlformats.org/officeDocument/2006/relationships/worksheet" Target="worksheets/sheet143.xml"/><Relationship Id="rId148" Type="http://schemas.openxmlformats.org/officeDocument/2006/relationships/worksheet" Target="worksheets/sheet148.xml"/><Relationship Id="rId151" Type="http://schemas.openxmlformats.org/officeDocument/2006/relationships/worksheet" Target="worksheets/sheet151.xml"/><Relationship Id="rId156" Type="http://schemas.openxmlformats.org/officeDocument/2006/relationships/worksheet" Target="worksheets/sheet156.xml"/><Relationship Id="rId164" Type="http://schemas.openxmlformats.org/officeDocument/2006/relationships/worksheet" Target="worksheets/sheet164.xml"/><Relationship Id="rId16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72"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U%20LIEU/PHAM%20LIET(DU%20LIEU)/SO%20LIEU%20HOP%20HDND%20CAC%20NAM/NAM%202024/HOP%20HDND%20CUOI%20NAM%202023/PL%20HOP%20HDND%20KEM%20THEO%20TO%20TRINH%20PHAN%20BO%20NAM%202024%20(A%20LIET%20MO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Zalo%20Received%20Files/GIAO%20DUC/A-%20Tong%20hop%20du%20toan%20cac%20truong%20trinh%20HDND%20-%20L1%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U%20LIEU/PHAM%20LIET(DU%20LIEU)/SO%20LIEU%20HOP%20HDND%20CAC%20NAM/NAM%202024/HOP%20HDND%20CUOI%20NAM%202023/NGAN%20SACH/Ph&#7909;%20l&#7909;c%20D&#7921;%20to&#225;n%20thu%20chi%20NSNN%20n&#259;m%202024%20(co%20dieu%20c&#27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AM%202024/XAY%20DUNG%20DU%20TOAN%202024/New%20folder%20(4)/Ph&#226;n%20b&#7893;%20NSX%20m&#7899;i%20(ngay%2002.1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tong hop"/>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Khong)"/>
      <sheetName val="ĐGCĐ THU, CHI MAU 19"/>
      <sheetName val="DANH GIA TH THU NSNN 20"/>
      <sheetName val="D. GIA TH THU NSNN THEO L.V 21"/>
      <sheetName val="22"/>
      <sheetName val="23"/>
      <sheetName val="24"/>
      <sheetName val="25"/>
      <sheetName val="26"/>
      <sheetName val="27"/>
      <sheetName val="28"/>
      <sheetName val="29"/>
      <sheetName val="CĐDT THU, CHI MAU 30"/>
      <sheetName val="31"/>
      <sheetName val="DT THU NSNN MAU 32"/>
      <sheetName val="DT CHI NS HUYEN, XA 33"/>
      <sheetName val="TONG HOP SO 30"/>
      <sheetName val="34 (Khong)"/>
      <sheetName val="CHI NS HUYEN 35"/>
      <sheetName val="36 (KHONG)"/>
      <sheetName val="DT CHI TX NSH TUNG CQ 37"/>
      <sheetName val="DT CTMTQG 38"/>
      <sheetName val="SNGD"/>
      <sheetName val="DT THU, CHI NSDP VA BSCĐ 39"/>
      <sheetName val="40 n(Khong)"/>
      <sheetName val="DT CHI NS XA 41"/>
      <sheetName val="42(KHONG)"/>
      <sheetName val="43 (KHONG)"/>
      <sheetName val="44 (KHONG)"/>
      <sheetName val="45 (KHÔNG)"/>
      <sheetName val="DTXDCB NSDP"/>
      <sheetName val="XBCD NSTW"/>
      <sheetName val="XDCB NTM"/>
      <sheetName val="47 (KHONG)"/>
      <sheetName val="DIEU CHINH DAU TU CONG 16-20"/>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11">
          <cell r="E11">
            <v>49900</v>
          </cell>
          <cell r="F11">
            <v>25610</v>
          </cell>
          <cell r="G11">
            <v>3500</v>
          </cell>
          <cell r="H11">
            <v>19420</v>
          </cell>
          <cell r="I11">
            <v>4580</v>
          </cell>
          <cell r="J11">
            <v>5300</v>
          </cell>
          <cell r="M11">
            <v>3000</v>
          </cell>
          <cell r="N11">
            <v>2700</v>
          </cell>
        </row>
        <row r="12">
          <cell r="J12">
            <v>2660</v>
          </cell>
          <cell r="N12">
            <v>1840</v>
          </cell>
        </row>
        <row r="13">
          <cell r="J13">
            <v>820</v>
          </cell>
        </row>
        <row r="16">
          <cell r="E16">
            <v>1930</v>
          </cell>
          <cell r="I16">
            <v>360</v>
          </cell>
          <cell r="J16">
            <v>230</v>
          </cell>
          <cell r="N16">
            <v>70</v>
          </cell>
        </row>
        <row r="17">
          <cell r="E17">
            <v>1140</v>
          </cell>
          <cell r="I17">
            <v>340</v>
          </cell>
          <cell r="J17">
            <v>190</v>
          </cell>
          <cell r="N17">
            <v>50</v>
          </cell>
        </row>
        <row r="18">
          <cell r="E18">
            <v>2190</v>
          </cell>
          <cell r="I18">
            <v>490</v>
          </cell>
          <cell r="J18">
            <v>210</v>
          </cell>
          <cell r="N18">
            <v>60</v>
          </cell>
        </row>
        <row r="19">
          <cell r="E19">
            <v>1090</v>
          </cell>
          <cell r="I19">
            <v>410</v>
          </cell>
          <cell r="J19">
            <v>180</v>
          </cell>
          <cell r="N19">
            <v>80</v>
          </cell>
        </row>
        <row r="20">
          <cell r="E20">
            <v>1240</v>
          </cell>
          <cell r="I20">
            <v>360</v>
          </cell>
          <cell r="J20">
            <v>130</v>
          </cell>
          <cell r="N20">
            <v>70</v>
          </cell>
        </row>
        <row r="21">
          <cell r="E21">
            <v>1220</v>
          </cell>
          <cell r="I21">
            <v>310</v>
          </cell>
          <cell r="J21">
            <v>130</v>
          </cell>
          <cell r="N21">
            <v>60</v>
          </cell>
        </row>
        <row r="22">
          <cell r="E22">
            <v>100</v>
          </cell>
          <cell r="I22">
            <v>140</v>
          </cell>
          <cell r="J22">
            <v>50</v>
          </cell>
          <cell r="N22">
            <v>30</v>
          </cell>
        </row>
        <row r="23">
          <cell r="E23">
            <v>340</v>
          </cell>
          <cell r="I23">
            <v>420</v>
          </cell>
          <cell r="J23">
            <v>60</v>
          </cell>
          <cell r="N23">
            <v>60</v>
          </cell>
        </row>
        <row r="24">
          <cell r="E24">
            <v>760</v>
          </cell>
          <cell r="I24">
            <v>120</v>
          </cell>
          <cell r="J24">
            <v>90</v>
          </cell>
          <cell r="N24">
            <v>50</v>
          </cell>
        </row>
        <row r="25">
          <cell r="E25">
            <v>490</v>
          </cell>
          <cell r="I25">
            <v>250</v>
          </cell>
          <cell r="J25">
            <v>80</v>
          </cell>
          <cell r="N25">
            <v>50</v>
          </cell>
        </row>
        <row r="26">
          <cell r="E26">
            <v>410</v>
          </cell>
          <cell r="I26">
            <v>110</v>
          </cell>
          <cell r="J26">
            <v>60</v>
          </cell>
          <cell r="N26">
            <v>50</v>
          </cell>
        </row>
        <row r="27">
          <cell r="E27">
            <v>900</v>
          </cell>
          <cell r="I27">
            <v>210</v>
          </cell>
          <cell r="J27">
            <v>100</v>
          </cell>
          <cell r="N27">
            <v>70</v>
          </cell>
        </row>
        <row r="28">
          <cell r="E28">
            <v>650</v>
          </cell>
          <cell r="I28">
            <v>310</v>
          </cell>
          <cell r="J28">
            <v>130</v>
          </cell>
          <cell r="N28">
            <v>50</v>
          </cell>
        </row>
        <row r="29">
          <cell r="E29">
            <v>640</v>
          </cell>
          <cell r="I29">
            <v>510</v>
          </cell>
          <cell r="J29">
            <v>140</v>
          </cell>
          <cell r="N29">
            <v>80</v>
          </cell>
        </row>
        <row r="30">
          <cell r="E30">
            <v>60</v>
          </cell>
          <cell r="I30">
            <v>240</v>
          </cell>
          <cell r="J30">
            <v>40</v>
          </cell>
          <cell r="N30">
            <v>30</v>
          </cell>
        </row>
      </sheetData>
      <sheetData sheetId="33" refreshError="1"/>
      <sheetData sheetId="34" refreshError="1">
        <row r="56">
          <cell r="C56">
            <v>23097</v>
          </cell>
        </row>
      </sheetData>
      <sheetData sheetId="35" refreshError="1"/>
      <sheetData sheetId="36" refreshError="1">
        <row r="17">
          <cell r="N17">
            <v>602.00000000000011</v>
          </cell>
        </row>
        <row r="18">
          <cell r="F18">
            <v>61091</v>
          </cell>
        </row>
        <row r="23">
          <cell r="F23">
            <v>3258.46976</v>
          </cell>
        </row>
        <row r="28">
          <cell r="F28">
            <v>76000</v>
          </cell>
        </row>
        <row r="29">
          <cell r="F29">
            <v>560</v>
          </cell>
        </row>
        <row r="30">
          <cell r="F30">
            <v>8828</v>
          </cell>
        </row>
        <row r="31">
          <cell r="F31">
            <v>7429.9605335999995</v>
          </cell>
        </row>
        <row r="36">
          <cell r="F36">
            <v>18974.698052</v>
          </cell>
        </row>
        <row r="50">
          <cell r="F50">
            <v>4013.0884000000001</v>
          </cell>
        </row>
        <row r="56">
          <cell r="F56">
            <v>1358.0995376000001</v>
          </cell>
        </row>
        <row r="64">
          <cell r="F64">
            <v>11471.043399999999</v>
          </cell>
        </row>
        <row r="75">
          <cell r="F75">
            <v>5250</v>
          </cell>
        </row>
        <row r="76">
          <cell r="F76">
            <v>322</v>
          </cell>
        </row>
        <row r="77">
          <cell r="F77">
            <v>3106</v>
          </cell>
        </row>
        <row r="82">
          <cell r="F82">
            <v>2247</v>
          </cell>
        </row>
        <row r="83">
          <cell r="F83">
            <v>3800</v>
          </cell>
        </row>
      </sheetData>
      <sheetData sheetId="37" refreshError="1"/>
      <sheetData sheetId="38" refreshError="1"/>
      <sheetData sheetId="39" refreshError="1"/>
      <sheetData sheetId="40" refreshError="1">
        <row r="11">
          <cell r="G11">
            <v>330225.81859748001</v>
          </cell>
        </row>
        <row r="80">
          <cell r="G80">
            <v>3019.3905994800039</v>
          </cell>
        </row>
      </sheetData>
      <sheetData sheetId="41" refreshError="1">
        <row r="11">
          <cell r="C11">
            <v>110610</v>
          </cell>
          <cell r="M11">
            <v>515703.79999999993</v>
          </cell>
          <cell r="N11">
            <v>70013</v>
          </cell>
          <cell r="O11">
            <v>67835</v>
          </cell>
        </row>
      </sheetData>
      <sheetData sheetId="42" refreshError="1"/>
      <sheetData sheetId="43" refreshError="1">
        <row r="10">
          <cell r="D10">
            <v>6211.1848176000003</v>
          </cell>
        </row>
        <row r="34">
          <cell r="C34">
            <v>2847.0000000000005</v>
          </cell>
        </row>
        <row r="35">
          <cell r="C35">
            <v>640</v>
          </cell>
        </row>
        <row r="36">
          <cell r="D36">
            <v>36.5</v>
          </cell>
          <cell r="E36">
            <v>38.5</v>
          </cell>
          <cell r="F36">
            <v>58.5</v>
          </cell>
          <cell r="G36">
            <v>57.5</v>
          </cell>
          <cell r="H36">
            <v>54</v>
          </cell>
          <cell r="I36">
            <v>46</v>
          </cell>
          <cell r="J36">
            <v>40.5</v>
          </cell>
          <cell r="K36">
            <v>65.5</v>
          </cell>
          <cell r="L36">
            <v>31</v>
          </cell>
          <cell r="M36">
            <v>51</v>
          </cell>
          <cell r="N36">
            <v>39</v>
          </cell>
          <cell r="O36">
            <v>46</v>
          </cell>
          <cell r="P36">
            <v>67.5</v>
          </cell>
          <cell r="Q36">
            <v>61.5</v>
          </cell>
          <cell r="R36">
            <v>34</v>
          </cell>
        </row>
        <row r="37">
          <cell r="D37">
            <v>64.099999999999994</v>
          </cell>
          <cell r="E37">
            <v>74.8</v>
          </cell>
          <cell r="F37">
            <v>161.6</v>
          </cell>
          <cell r="G37">
            <v>168.8</v>
          </cell>
          <cell r="H37">
            <v>147.69999999999999</v>
          </cell>
          <cell r="I37">
            <v>136.9</v>
          </cell>
          <cell r="J37">
            <v>77.3</v>
          </cell>
          <cell r="K37">
            <v>135</v>
          </cell>
          <cell r="L37">
            <v>45.9</v>
          </cell>
          <cell r="M37">
            <v>87.9</v>
          </cell>
          <cell r="N37">
            <v>77.599999999999994</v>
          </cell>
          <cell r="O37">
            <v>166.3</v>
          </cell>
          <cell r="P37">
            <v>156.19999999999999</v>
          </cell>
          <cell r="Q37">
            <v>150.9</v>
          </cell>
          <cell r="R37">
            <v>70.8</v>
          </cell>
        </row>
        <row r="38">
          <cell r="C38">
            <v>334</v>
          </cell>
        </row>
        <row r="41">
          <cell r="C41">
            <v>324.00000000000006</v>
          </cell>
          <cell r="D41">
            <v>21.6</v>
          </cell>
          <cell r="E41">
            <v>21.6</v>
          </cell>
          <cell r="F41">
            <v>21.6</v>
          </cell>
          <cell r="G41">
            <v>21.6</v>
          </cell>
          <cell r="H41">
            <v>21.6</v>
          </cell>
          <cell r="I41">
            <v>21.6</v>
          </cell>
          <cell r="J41">
            <v>21.6</v>
          </cell>
          <cell r="K41">
            <v>21.6</v>
          </cell>
          <cell r="L41">
            <v>21.6</v>
          </cell>
          <cell r="M41">
            <v>21.6</v>
          </cell>
          <cell r="N41">
            <v>21.6</v>
          </cell>
          <cell r="O41">
            <v>21.6</v>
          </cell>
          <cell r="P41">
            <v>21.6</v>
          </cell>
          <cell r="Q41">
            <v>21.6</v>
          </cell>
          <cell r="R41">
            <v>21.6</v>
          </cell>
        </row>
      </sheetData>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hop trinh HDND"/>
      <sheetName val="Phu luc THKP giao"/>
      <sheetName val="PL 01 XDCB"/>
      <sheetName val="PL 02 BC CHO"/>
      <sheetName val="Phu lục ngoai đinh mức"/>
    </sheetNames>
    <sheetDataSet>
      <sheetData sheetId="0" refreshError="1"/>
      <sheetData sheetId="1" refreshError="1">
        <row r="10">
          <cell r="E10">
            <v>151.86500000000001</v>
          </cell>
        </row>
        <row r="11">
          <cell r="E11">
            <v>1260</v>
          </cell>
        </row>
        <row r="12">
          <cell r="E12">
            <v>3597.37</v>
          </cell>
        </row>
        <row r="13">
          <cell r="E13">
            <v>4199.4660000000003</v>
          </cell>
        </row>
        <row r="17">
          <cell r="E17">
            <v>334.18799999999999</v>
          </cell>
        </row>
        <row r="20">
          <cell r="D20">
            <v>4700</v>
          </cell>
        </row>
        <row r="21">
          <cell r="D21">
            <v>320</v>
          </cell>
        </row>
        <row r="22">
          <cell r="D22">
            <v>165</v>
          </cell>
        </row>
        <row r="23">
          <cell r="D23">
            <v>11275</v>
          </cell>
        </row>
        <row r="24">
          <cell r="D24">
            <v>6637</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tong hop"/>
      <sheetName val="01"/>
      <sheetName val="02"/>
      <sheetName val="03"/>
      <sheetName val="04"/>
      <sheetName val="05"/>
      <sheetName val="06"/>
      <sheetName val="07"/>
      <sheetName val="08"/>
      <sheetName val="09"/>
      <sheetName val="10"/>
      <sheetName val="11"/>
      <sheetName val="17"/>
      <sheetName val="18 (Khong)"/>
      <sheetName val="ĐGCĐ THU, CHI MAU 19"/>
      <sheetName val="DANH GIA TH THU NSNN 20"/>
      <sheetName val="D. GIA TH THU NSNN THEO L.V 21"/>
      <sheetName val="22"/>
      <sheetName val="23"/>
      <sheetName val="24"/>
      <sheetName val="25"/>
      <sheetName val="26"/>
      <sheetName val="27"/>
      <sheetName val="28"/>
      <sheetName val="29"/>
      <sheetName val="CĐDT THU, CHI MAU 30"/>
      <sheetName val="31"/>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PL 01"/>
      <sheetName val="PL 02"/>
      <sheetName val="DT CHI NS HUYEN, XA 33"/>
      <sheetName val="34 (Khong)"/>
      <sheetName val="PL 03"/>
      <sheetName val="36 (KHONG)"/>
      <sheetName val="DT CHI TX NSH TUNG CQ 37"/>
      <sheetName val="DT CTMTQG 38"/>
      <sheetName val="PL 04"/>
      <sheetName val="PL 05"/>
      <sheetName val="40 n(Khong)"/>
      <sheetName val="PL 06"/>
      <sheetName val="42(KHONG)"/>
      <sheetName val="43 (KHONG)"/>
      <sheetName val="44 (KHONG)"/>
      <sheetName val="45 (KHÔNG)"/>
      <sheetName val="PL 06a"/>
      <sheetName val="47 (KHONG)"/>
      <sheetName val="DIEU CHINH DAU TU CONG 16-20"/>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ow r="13">
          <cell r="C13">
            <v>2590</v>
          </cell>
        </row>
        <row r="14">
          <cell r="C14">
            <v>1720</v>
          </cell>
        </row>
        <row r="15">
          <cell r="C15">
            <v>2950</v>
          </cell>
        </row>
        <row r="16">
          <cell r="C16">
            <v>1760</v>
          </cell>
        </row>
      </sheetData>
      <sheetData sheetId="86" refreshError="1"/>
      <sheetData sheetId="87">
        <row r="10">
          <cell r="D10">
            <v>6295.0288176000004</v>
          </cell>
          <cell r="E10">
            <v>6076.8665867999998</v>
          </cell>
          <cell r="F10">
            <v>8051.1517954799992</v>
          </cell>
          <cell r="G10">
            <v>8127.0516743999988</v>
          </cell>
        </row>
      </sheetData>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tong hop"/>
      <sheetName val="01"/>
      <sheetName val="02"/>
      <sheetName val="03"/>
      <sheetName val="04"/>
      <sheetName val="05"/>
      <sheetName val="06"/>
      <sheetName val="07"/>
      <sheetName val="08"/>
      <sheetName val="09"/>
      <sheetName val="10"/>
      <sheetName val="11"/>
      <sheetName val="17"/>
      <sheetName val="18 (Khong)"/>
      <sheetName val="ĐGCĐ THU, CHI MAU 19"/>
      <sheetName val="DANH GIA TH THU NSNN 20"/>
      <sheetName val="D. GIA TH THU NSNN THEO L.V 21"/>
      <sheetName val="22"/>
      <sheetName val="23"/>
      <sheetName val="24"/>
      <sheetName val="25"/>
      <sheetName val="26"/>
      <sheetName val="27"/>
      <sheetName val="28"/>
      <sheetName val="29"/>
      <sheetName val="CĐDT THU, CHI MAU 30"/>
      <sheetName val="31"/>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199"/>
      <sheetName val="Kangatang_200"/>
      <sheetName val="Kangatang_201"/>
      <sheetName val="Kangatang_202"/>
      <sheetName val="Kangatang_203"/>
      <sheetName val="Kangatang_204"/>
      <sheetName val="Kangatang_205"/>
      <sheetName val="Kangatang_206"/>
      <sheetName val="Kangatang_207"/>
      <sheetName val="Kangatang_208"/>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8"/>
      <sheetName val="Kangatang_229"/>
      <sheetName val="Kangatang_230"/>
      <sheetName val="Kangatang_231"/>
      <sheetName val="Kangatang_232"/>
      <sheetName val="Kangatang_233"/>
      <sheetName val="Kangatang_234"/>
      <sheetName val="Kangatang_235"/>
      <sheetName val="Kangatang_236"/>
      <sheetName val="Kangatang_237"/>
      <sheetName val="Kangatang_238"/>
      <sheetName val="Kangatang_239"/>
      <sheetName val="Kangatang_240"/>
      <sheetName val="Kangatang_241"/>
      <sheetName val="Kangatang_242"/>
      <sheetName val="Kangatang_243"/>
      <sheetName val="Kangatang_244"/>
      <sheetName val="Kangatang_245"/>
      <sheetName val="Kangatang_246"/>
      <sheetName val="Kangatang_247"/>
      <sheetName val="Kangatang_248"/>
      <sheetName val="Kangatang_249"/>
      <sheetName val="Kangatang_250"/>
      <sheetName val="Kangatang_251"/>
      <sheetName val="Kangatang_252"/>
      <sheetName val="Kangatang_253"/>
      <sheetName val="Kangatang_254"/>
      <sheetName val="Kangatang_255"/>
      <sheetName val="Kangatang_256"/>
      <sheetName val="Kangatang_257"/>
      <sheetName val="Kangatang_258"/>
      <sheetName val="Kangatang_259"/>
      <sheetName val="Kangatang_260"/>
      <sheetName val="Kangatang_261"/>
      <sheetName val="Kangatang_262"/>
      <sheetName val="Kangatang_263"/>
      <sheetName val="Kangatang_264"/>
      <sheetName val="Kangatang_265"/>
      <sheetName val="Kangatang_266"/>
      <sheetName val="Kangatang_267"/>
      <sheetName val="Kangatang_268"/>
      <sheetName val="Kangatang_269"/>
      <sheetName val="Kangatang_270"/>
      <sheetName val="Kangatang_271"/>
      <sheetName val="Kangatang_272"/>
      <sheetName val="Kangatang_273"/>
      <sheetName val="Kangatang_274"/>
      <sheetName val="Kangatang_275"/>
      <sheetName val="Kangatang_276"/>
      <sheetName val="Kangatang_277"/>
      <sheetName val="Kangatang_278"/>
      <sheetName val="Kangatang_279"/>
      <sheetName val="Kangatang_280"/>
      <sheetName val="Kangatang_281"/>
      <sheetName val="Kangatang_282"/>
      <sheetName val="Kangatang_283"/>
      <sheetName val="Kangatang_284"/>
      <sheetName val="Kangatang_285"/>
      <sheetName val="Kangatang_286"/>
      <sheetName val="Kangatang_287"/>
      <sheetName val="Kangatang_288"/>
      <sheetName val="Kangatang_289"/>
      <sheetName val="Kangatang_290"/>
      <sheetName val="Kangatang_291"/>
      <sheetName val="Kangatang_292"/>
      <sheetName val="Kangatang_293"/>
      <sheetName val="Kangatang_294"/>
      <sheetName val="Kangatang_295"/>
      <sheetName val="Kangatang_296"/>
      <sheetName val="Kangatang_297"/>
      <sheetName val="Kangatang_298"/>
      <sheetName val="Kangatang_299"/>
      <sheetName val="Kangatang_300"/>
      <sheetName val="Kangatang_301"/>
      <sheetName val="Kangatang_302"/>
      <sheetName val="Kangatang_303"/>
      <sheetName val="Kangatang_304"/>
      <sheetName val="Kangatang_305"/>
      <sheetName val="Kangatang_306"/>
      <sheetName val="Kangatang_307"/>
      <sheetName val="Kangatang_308"/>
      <sheetName val="Kangatang_309"/>
      <sheetName val="Kangatang_310"/>
      <sheetName val="Kangatang_311"/>
      <sheetName val="Kangatang_312"/>
      <sheetName val="Kangatang_313"/>
      <sheetName val="Kangatang_314"/>
      <sheetName val="Kangatang_315"/>
      <sheetName val="Kangatang_316"/>
      <sheetName val="Kangatang_317"/>
      <sheetName val="Kangatang_318"/>
      <sheetName val="Kangatang_319"/>
      <sheetName val="Kangatang_320"/>
      <sheetName val="Kangatang_321"/>
      <sheetName val="Kangatang_322"/>
      <sheetName val="Kangatang_323"/>
      <sheetName val="Kangatang_324"/>
      <sheetName val="Kangatang_325"/>
      <sheetName val="Kangatang_326"/>
      <sheetName val="Kangatang_327"/>
      <sheetName val="Kangatang_328"/>
      <sheetName val="Kangatang_329"/>
      <sheetName val="Kangatang_330"/>
      <sheetName val="Kangatang_331"/>
      <sheetName val="Kangatang_332"/>
      <sheetName val="Kangatang_333"/>
      <sheetName val="Kangatang_334"/>
      <sheetName val="Kangatang_335"/>
      <sheetName val="Kangatang_336"/>
      <sheetName val="Kangatang_337"/>
      <sheetName val="Kangatang_338"/>
      <sheetName val="Kangatang_339"/>
      <sheetName val="Kangatang_340"/>
      <sheetName val="Kangatang_341"/>
      <sheetName val="Kangatang_342"/>
      <sheetName val="Kangatang_343"/>
      <sheetName val="Kangatang_344"/>
      <sheetName val="Kangatang_345"/>
      <sheetName val="Kangatang_346"/>
      <sheetName val="Kangatang_347"/>
      <sheetName val="Kangatang_348"/>
      <sheetName val="Kangatang_349"/>
      <sheetName val="Kangatang_350"/>
      <sheetName val="Kangatang_351"/>
      <sheetName val="Kangatang_352"/>
      <sheetName val="Kangatang_353"/>
      <sheetName val="Kangatang_354"/>
      <sheetName val="Kangatang_355"/>
      <sheetName val="Kangatang_356"/>
      <sheetName val="Kangatang_357"/>
      <sheetName val="Kangatang_358"/>
      <sheetName val="Kangatang_359"/>
      <sheetName val="Kangatang_360"/>
      <sheetName val="Kangatang_361"/>
      <sheetName val="Kangatang_362"/>
      <sheetName val="Kangatang_363"/>
      <sheetName val="Kangatang_364"/>
      <sheetName val="Kangatang_365"/>
      <sheetName val="Kangatang_366"/>
      <sheetName val="Kangatang_367"/>
      <sheetName val="Kangatang_368"/>
      <sheetName val="Kangatang_369"/>
      <sheetName val="Kangatang_370"/>
      <sheetName val="Kangatang_371"/>
      <sheetName val="Kangatang_372"/>
      <sheetName val="Kangatang_373"/>
      <sheetName val="Kangatang_374"/>
      <sheetName val="Kangatang_375"/>
      <sheetName val="Kangatang_376"/>
      <sheetName val="Kangatang_377"/>
      <sheetName val="Kangatang_378"/>
      <sheetName val="Kangatang_379"/>
      <sheetName val="Kangatang_380"/>
      <sheetName val="Kangatang_381"/>
      <sheetName val="Kangatang_382"/>
      <sheetName val="Kangatang_383"/>
      <sheetName val="Kangatang_384"/>
      <sheetName val="Kangatang_385"/>
      <sheetName val="Kangatang_386"/>
      <sheetName val="Kangatang_387"/>
      <sheetName val="Kangatang_388"/>
      <sheetName val="Kangatang_389"/>
      <sheetName val="Kangatang_390"/>
      <sheetName val="Kangatang_391"/>
      <sheetName val="Kangatang_392"/>
      <sheetName val="Kangatang_393"/>
      <sheetName val="Kangatang_394"/>
      <sheetName val="Kangatang_395"/>
      <sheetName val="Kangatang_396"/>
      <sheetName val="Kangatang_397"/>
      <sheetName val="Kangatang_398"/>
      <sheetName val="DT THU NSNN MAU 32"/>
      <sheetName val="TONG HOP SO 30"/>
      <sheetName val="34 (Khong)"/>
      <sheetName val="CHI NS HUYEN 35"/>
      <sheetName val="36 (KHONG)"/>
      <sheetName val="DT CHI TX NSH TUNG CQ 37"/>
      <sheetName val="DT CTMTQG 38"/>
      <sheetName val="SNGD"/>
      <sheetName val="DT THU, CHI NSDP VA BSCĐ 39"/>
      <sheetName val="40 n(Khong)"/>
      <sheetName val="DT CHI NS XA 41"/>
      <sheetName val="42(KHONG)"/>
      <sheetName val="43 (KHONG)"/>
      <sheetName val="44 (KHONG)"/>
      <sheetName val="45 (KHÔNG)"/>
      <sheetName val="47 (KHONG)"/>
      <sheetName val="DIEU CHINH DAU TU CONG 16-20"/>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row r="17">
          <cell r="C17">
            <v>1800</v>
          </cell>
        </row>
        <row r="18">
          <cell r="C18">
            <v>1720</v>
          </cell>
        </row>
        <row r="19">
          <cell r="C19">
            <v>320</v>
          </cell>
        </row>
        <row r="20">
          <cell r="C20">
            <v>880</v>
          </cell>
        </row>
        <row r="21">
          <cell r="C21">
            <v>1020</v>
          </cell>
        </row>
        <row r="22">
          <cell r="C22">
            <v>870</v>
          </cell>
        </row>
        <row r="23">
          <cell r="C23">
            <v>630</v>
          </cell>
        </row>
        <row r="24">
          <cell r="C24">
            <v>1280</v>
          </cell>
        </row>
        <row r="25">
          <cell r="C25">
            <v>1140</v>
          </cell>
        </row>
        <row r="26">
          <cell r="C26">
            <v>1370</v>
          </cell>
        </row>
        <row r="27">
          <cell r="C27">
            <v>370</v>
          </cell>
        </row>
      </sheetData>
      <sheetData sheetId="434" refreshError="1"/>
      <sheetData sheetId="435" refreshError="1">
        <row r="10">
          <cell r="H10">
            <v>7457.2696454400002</v>
          </cell>
          <cell r="I10">
            <v>6981.3339775200011</v>
          </cell>
          <cell r="J10">
            <v>6542.759204160001</v>
          </cell>
          <cell r="K10">
            <v>8758.2603959999997</v>
          </cell>
          <cell r="L10">
            <v>5417.4532719599993</v>
          </cell>
          <cell r="M10">
            <v>6966.6294167999986</v>
          </cell>
          <cell r="N10">
            <v>6198.3729239999993</v>
          </cell>
          <cell r="O10">
            <v>7187.9708080800001</v>
          </cell>
          <cell r="P10">
            <v>8943.6319891200001</v>
          </cell>
          <cell r="Q10">
            <v>8320.1191920000001</v>
          </cell>
          <cell r="R10">
            <v>5947.1022480000001</v>
          </cell>
        </row>
      </sheetData>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3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77"/>
  <sheetViews>
    <sheetView topLeftCell="A25" workbookViewId="0">
      <selection activeCell="E33" sqref="E33"/>
    </sheetView>
  </sheetViews>
  <sheetFormatPr defaultColWidth="9.140625" defaultRowHeight="15.75" x14ac:dyDescent="0.25"/>
  <cols>
    <col min="1" max="1" width="22.140625" style="54" customWidth="1"/>
    <col min="2" max="2" width="64.7109375" style="52" customWidth="1"/>
    <col min="3" max="3" width="47.7109375" style="52" hidden="1" customWidth="1"/>
    <col min="4" max="16384" width="9.140625" style="52"/>
  </cols>
  <sheetData>
    <row r="1" spans="1:3" x14ac:dyDescent="0.25">
      <c r="A1" s="414" t="s">
        <v>901</v>
      </c>
      <c r="B1" s="414"/>
      <c r="C1" s="414"/>
    </row>
    <row r="2" spans="1:3" ht="38.25" customHeight="1" x14ac:dyDescent="0.25">
      <c r="A2" s="413" t="s">
        <v>903</v>
      </c>
      <c r="B2" s="413"/>
      <c r="C2" s="413"/>
    </row>
    <row r="3" spans="1:3" s="58" customFormat="1" x14ac:dyDescent="0.25">
      <c r="A3" s="29" t="s">
        <v>904</v>
      </c>
      <c r="B3" s="29" t="s">
        <v>4</v>
      </c>
      <c r="C3" s="29" t="s">
        <v>905</v>
      </c>
    </row>
    <row r="4" spans="1:3" x14ac:dyDescent="0.25">
      <c r="A4" s="51" t="s">
        <v>820</v>
      </c>
      <c r="B4" s="51" t="s">
        <v>821</v>
      </c>
      <c r="C4" s="51"/>
    </row>
    <row r="5" spans="1:3" x14ac:dyDescent="0.25">
      <c r="A5" s="53" t="s">
        <v>0</v>
      </c>
      <c r="B5" s="31" t="s">
        <v>822</v>
      </c>
      <c r="C5" s="31" t="s">
        <v>906</v>
      </c>
    </row>
    <row r="6" spans="1:3" ht="31.5" x14ac:dyDescent="0.25">
      <c r="A6" s="53" t="s">
        <v>53</v>
      </c>
      <c r="B6" s="31" t="s">
        <v>823</v>
      </c>
      <c r="C6" s="31" t="s">
        <v>911</v>
      </c>
    </row>
    <row r="7" spans="1:3" x14ac:dyDescent="0.25">
      <c r="A7" s="51" t="s">
        <v>824</v>
      </c>
      <c r="B7" s="51" t="s">
        <v>825</v>
      </c>
      <c r="C7" s="51"/>
    </row>
    <row r="8" spans="1:3" ht="31.5" customHeight="1" x14ac:dyDescent="0.25">
      <c r="A8" s="53" t="s">
        <v>124</v>
      </c>
      <c r="B8" s="31" t="s">
        <v>826</v>
      </c>
      <c r="C8" s="411" t="s">
        <v>907</v>
      </c>
    </row>
    <row r="9" spans="1:3" ht="31.5" x14ac:dyDescent="0.25">
      <c r="A9" s="53" t="s">
        <v>159</v>
      </c>
      <c r="B9" s="31" t="s">
        <v>827</v>
      </c>
      <c r="C9" s="415"/>
    </row>
    <row r="10" spans="1:3" ht="31.5" x14ac:dyDescent="0.25">
      <c r="A10" s="53" t="s">
        <v>178</v>
      </c>
      <c r="B10" s="31" t="s">
        <v>828</v>
      </c>
      <c r="C10" s="415"/>
    </row>
    <row r="11" spans="1:3" ht="47.25" x14ac:dyDescent="0.25">
      <c r="A11" s="53" t="s">
        <v>206</v>
      </c>
      <c r="B11" s="31" t="s">
        <v>829</v>
      </c>
      <c r="C11" s="412"/>
    </row>
    <row r="12" spans="1:3" x14ac:dyDescent="0.25">
      <c r="A12" s="51" t="s">
        <v>830</v>
      </c>
      <c r="B12" s="51" t="s">
        <v>831</v>
      </c>
      <c r="C12" s="51"/>
    </row>
    <row r="13" spans="1:3" x14ac:dyDescent="0.25">
      <c r="A13" s="53" t="s">
        <v>224</v>
      </c>
      <c r="B13" s="31" t="s">
        <v>832</v>
      </c>
      <c r="C13" s="31" t="s">
        <v>910</v>
      </c>
    </row>
    <row r="14" spans="1:3" ht="31.5" x14ac:dyDescent="0.25">
      <c r="A14" s="53" t="s">
        <v>262</v>
      </c>
      <c r="B14" s="31" t="s">
        <v>833</v>
      </c>
      <c r="C14" s="31" t="s">
        <v>921</v>
      </c>
    </row>
    <row r="15" spans="1:3" ht="31.5" x14ac:dyDescent="0.25">
      <c r="A15" s="53" t="s">
        <v>294</v>
      </c>
      <c r="B15" s="31" t="s">
        <v>834</v>
      </c>
      <c r="C15" s="31" t="s">
        <v>910</v>
      </c>
    </row>
    <row r="16" spans="1:3" x14ac:dyDescent="0.25">
      <c r="A16" s="53" t="s">
        <v>315</v>
      </c>
      <c r="B16" s="31" t="s">
        <v>835</v>
      </c>
      <c r="C16" s="31" t="s">
        <v>910</v>
      </c>
    </row>
    <row r="17" spans="1:3" ht="31.5" x14ac:dyDescent="0.25">
      <c r="A17" s="53" t="s">
        <v>328</v>
      </c>
      <c r="B17" s="31" t="s">
        <v>836</v>
      </c>
      <c r="C17" s="31" t="s">
        <v>909</v>
      </c>
    </row>
    <row r="18" spans="1:3" x14ac:dyDescent="0.25">
      <c r="A18" s="51" t="s">
        <v>837</v>
      </c>
      <c r="B18" s="51" t="s">
        <v>838</v>
      </c>
      <c r="C18" s="51"/>
    </row>
    <row r="19" spans="1:3" x14ac:dyDescent="0.25">
      <c r="A19" s="50" t="s">
        <v>839</v>
      </c>
      <c r="B19" s="31" t="s">
        <v>840</v>
      </c>
      <c r="C19" s="411" t="s">
        <v>912</v>
      </c>
    </row>
    <row r="20" spans="1:3" x14ac:dyDescent="0.25">
      <c r="A20" s="53" t="s">
        <v>354</v>
      </c>
      <c r="B20" s="31" t="s">
        <v>841</v>
      </c>
      <c r="C20" s="415"/>
    </row>
    <row r="21" spans="1:3" x14ac:dyDescent="0.25">
      <c r="A21" s="53" t="s">
        <v>365</v>
      </c>
      <c r="B21" s="31" t="s">
        <v>842</v>
      </c>
      <c r="C21" s="415"/>
    </row>
    <row r="22" spans="1:3" x14ac:dyDescent="0.25">
      <c r="A22" s="53" t="s">
        <v>388</v>
      </c>
      <c r="B22" s="31" t="s">
        <v>843</v>
      </c>
      <c r="C22" s="415"/>
    </row>
    <row r="23" spans="1:3" x14ac:dyDescent="0.25">
      <c r="A23" s="50" t="s">
        <v>844</v>
      </c>
      <c r="B23" s="31" t="s">
        <v>845</v>
      </c>
      <c r="C23" s="415"/>
    </row>
    <row r="24" spans="1:3" x14ac:dyDescent="0.25">
      <c r="A24" s="53" t="s">
        <v>404</v>
      </c>
      <c r="B24" s="31" t="s">
        <v>846</v>
      </c>
      <c r="C24" s="415"/>
    </row>
    <row r="25" spans="1:3" x14ac:dyDescent="0.25">
      <c r="A25" s="53" t="s">
        <v>410</v>
      </c>
      <c r="B25" s="31" t="s">
        <v>847</v>
      </c>
      <c r="C25" s="415"/>
    </row>
    <row r="26" spans="1:3" x14ac:dyDescent="0.25">
      <c r="A26" s="53" t="s">
        <v>419</v>
      </c>
      <c r="B26" s="31" t="s">
        <v>848</v>
      </c>
      <c r="C26" s="415"/>
    </row>
    <row r="27" spans="1:3" x14ac:dyDescent="0.25">
      <c r="A27" s="53" t="s">
        <v>427</v>
      </c>
      <c r="B27" s="31" t="s">
        <v>849</v>
      </c>
      <c r="C27" s="412"/>
    </row>
    <row r="28" spans="1:3" x14ac:dyDescent="0.25">
      <c r="A28" s="51" t="s">
        <v>850</v>
      </c>
      <c r="B28" s="51" t="s">
        <v>851</v>
      </c>
      <c r="C28" s="51"/>
    </row>
    <row r="29" spans="1:3" s="60" customFormat="1" x14ac:dyDescent="0.25">
      <c r="A29" s="59" t="s">
        <v>839</v>
      </c>
      <c r="B29" s="30" t="s">
        <v>840</v>
      </c>
      <c r="C29" s="30"/>
    </row>
    <row r="30" spans="1:3" ht="63" x14ac:dyDescent="0.25">
      <c r="A30" s="53" t="s">
        <v>457</v>
      </c>
      <c r="B30" s="31" t="s">
        <v>852</v>
      </c>
      <c r="C30" s="31" t="s">
        <v>922</v>
      </c>
    </row>
    <row r="31" spans="1:3" ht="31.5" x14ac:dyDescent="0.25">
      <c r="A31" s="53" t="s">
        <v>467</v>
      </c>
      <c r="B31" s="31" t="s">
        <v>853</v>
      </c>
      <c r="C31" s="411" t="s">
        <v>917</v>
      </c>
    </row>
    <row r="32" spans="1:3" ht="31.5" x14ac:dyDescent="0.25">
      <c r="A32" s="53" t="s">
        <v>482</v>
      </c>
      <c r="B32" s="31" t="s">
        <v>854</v>
      </c>
      <c r="C32" s="412"/>
    </row>
    <row r="33" spans="1:3" ht="78.75" x14ac:dyDescent="0.25">
      <c r="A33" s="53" t="s">
        <v>486</v>
      </c>
      <c r="B33" s="31" t="s">
        <v>855</v>
      </c>
      <c r="C33" s="31" t="s">
        <v>923</v>
      </c>
    </row>
    <row r="34" spans="1:3" ht="31.5" x14ac:dyDescent="0.25">
      <c r="A34" s="53" t="s">
        <v>496</v>
      </c>
      <c r="B34" s="31" t="s">
        <v>856</v>
      </c>
      <c r="C34" s="31" t="s">
        <v>913</v>
      </c>
    </row>
    <row r="35" spans="1:3" ht="63" x14ac:dyDescent="0.25">
      <c r="A35" s="53" t="s">
        <v>515</v>
      </c>
      <c r="B35" s="31" t="s">
        <v>857</v>
      </c>
      <c r="C35" s="31" t="s">
        <v>924</v>
      </c>
    </row>
    <row r="36" spans="1:3" ht="63" x14ac:dyDescent="0.25">
      <c r="A36" s="53" t="s">
        <v>530</v>
      </c>
      <c r="B36" s="31" t="s">
        <v>858</v>
      </c>
      <c r="C36" s="31" t="s">
        <v>925</v>
      </c>
    </row>
    <row r="37" spans="1:3" ht="47.25" x14ac:dyDescent="0.25">
      <c r="A37" s="53" t="s">
        <v>535</v>
      </c>
      <c r="B37" s="31" t="s">
        <v>859</v>
      </c>
      <c r="C37" s="31" t="s">
        <v>926</v>
      </c>
    </row>
    <row r="38" spans="1:3" ht="31.5" x14ac:dyDescent="0.25">
      <c r="A38" s="53" t="s">
        <v>537</v>
      </c>
      <c r="B38" s="31" t="s">
        <v>860</v>
      </c>
      <c r="C38" s="31" t="s">
        <v>920</v>
      </c>
    </row>
    <row r="39" spans="1:3" ht="31.5" x14ac:dyDescent="0.25">
      <c r="A39" s="53" t="s">
        <v>560</v>
      </c>
      <c r="B39" s="31" t="s">
        <v>861</v>
      </c>
      <c r="C39" s="31" t="s">
        <v>919</v>
      </c>
    </row>
    <row r="40" spans="1:3" ht="31.5" x14ac:dyDescent="0.25">
      <c r="A40" s="53" t="s">
        <v>576</v>
      </c>
      <c r="B40" s="31" t="s">
        <v>862</v>
      </c>
      <c r="C40" s="31" t="s">
        <v>918</v>
      </c>
    </row>
    <row r="41" spans="1:3" s="60" customFormat="1" x14ac:dyDescent="0.25">
      <c r="A41" s="59" t="s">
        <v>844</v>
      </c>
      <c r="B41" s="30" t="s">
        <v>863</v>
      </c>
      <c r="C41" s="30"/>
    </row>
    <row r="42" spans="1:3" ht="63" x14ac:dyDescent="0.25">
      <c r="A42" s="53" t="s">
        <v>588</v>
      </c>
      <c r="B42" s="31" t="s">
        <v>864</v>
      </c>
      <c r="C42" s="31" t="s">
        <v>922</v>
      </c>
    </row>
    <row r="43" spans="1:3" ht="25.5" customHeight="1" x14ac:dyDescent="0.25">
      <c r="A43" s="53" t="s">
        <v>597</v>
      </c>
      <c r="B43" s="31" t="s">
        <v>865</v>
      </c>
      <c r="C43" s="411" t="s">
        <v>917</v>
      </c>
    </row>
    <row r="44" spans="1:3" ht="31.5" x14ac:dyDescent="0.25">
      <c r="A44" s="53" t="s">
        <v>602</v>
      </c>
      <c r="B44" s="31" t="s">
        <v>866</v>
      </c>
      <c r="C44" s="412"/>
    </row>
    <row r="45" spans="1:3" ht="78.75" x14ac:dyDescent="0.25">
      <c r="A45" s="53" t="s">
        <v>603</v>
      </c>
      <c r="B45" s="31" t="s">
        <v>867</v>
      </c>
      <c r="C45" s="31" t="s">
        <v>923</v>
      </c>
    </row>
    <row r="46" spans="1:3" ht="31.5" x14ac:dyDescent="0.25">
      <c r="A46" s="53" t="s">
        <v>607</v>
      </c>
      <c r="B46" s="31" t="s">
        <v>868</v>
      </c>
      <c r="C46" s="31" t="s">
        <v>913</v>
      </c>
    </row>
    <row r="47" spans="1:3" ht="63" x14ac:dyDescent="0.25">
      <c r="A47" s="53" t="s">
        <v>617</v>
      </c>
      <c r="B47" s="31" t="s">
        <v>869</v>
      </c>
      <c r="C47" s="31" t="s">
        <v>924</v>
      </c>
    </row>
    <row r="48" spans="1:3" ht="63" x14ac:dyDescent="0.25">
      <c r="A48" s="53" t="s">
        <v>621</v>
      </c>
      <c r="B48" s="31" t="s">
        <v>870</v>
      </c>
      <c r="C48" s="31" t="s">
        <v>925</v>
      </c>
    </row>
    <row r="49" spans="1:3" ht="47.25" x14ac:dyDescent="0.25">
      <c r="A49" s="53" t="s">
        <v>623</v>
      </c>
      <c r="B49" s="31" t="s">
        <v>871</v>
      </c>
      <c r="C49" s="31" t="s">
        <v>926</v>
      </c>
    </row>
    <row r="50" spans="1:3" ht="63" x14ac:dyDescent="0.25">
      <c r="A50" s="53" t="s">
        <v>624</v>
      </c>
      <c r="B50" s="31" t="s">
        <v>872</v>
      </c>
      <c r="C50" s="31" t="s">
        <v>925</v>
      </c>
    </row>
    <row r="51" spans="1:3" ht="31.5" x14ac:dyDescent="0.25">
      <c r="A51" s="53" t="s">
        <v>625</v>
      </c>
      <c r="B51" s="31" t="s">
        <v>873</v>
      </c>
      <c r="C51" s="31" t="s">
        <v>927</v>
      </c>
    </row>
    <row r="52" spans="1:3" ht="31.5" x14ac:dyDescent="0.25">
      <c r="A52" s="53" t="s">
        <v>626</v>
      </c>
      <c r="B52" s="31" t="s">
        <v>874</v>
      </c>
      <c r="C52" s="31" t="s">
        <v>928</v>
      </c>
    </row>
    <row r="53" spans="1:3" ht="31.5" x14ac:dyDescent="0.25">
      <c r="A53" s="53" t="s">
        <v>627</v>
      </c>
      <c r="B53" s="31" t="s">
        <v>875</v>
      </c>
      <c r="C53" s="31" t="s">
        <v>927</v>
      </c>
    </row>
    <row r="54" spans="1:3" ht="47.25" x14ac:dyDescent="0.25">
      <c r="A54" s="53" t="s">
        <v>628</v>
      </c>
      <c r="B54" s="31" t="s">
        <v>876</v>
      </c>
      <c r="C54" s="31" t="s">
        <v>929</v>
      </c>
    </row>
    <row r="55" spans="1:3" ht="47.25" x14ac:dyDescent="0.25">
      <c r="A55" s="53" t="s">
        <v>629</v>
      </c>
      <c r="B55" s="31" t="s">
        <v>877</v>
      </c>
      <c r="C55" s="31" t="s">
        <v>929</v>
      </c>
    </row>
    <row r="56" spans="1:3" ht="47.25" x14ac:dyDescent="0.25">
      <c r="A56" s="53" t="s">
        <v>630</v>
      </c>
      <c r="B56" s="31" t="s">
        <v>878</v>
      </c>
      <c r="C56" s="31" t="s">
        <v>929</v>
      </c>
    </row>
    <row r="57" spans="1:3" ht="31.5" x14ac:dyDescent="0.25">
      <c r="A57" s="53" t="s">
        <v>631</v>
      </c>
      <c r="B57" s="31" t="s">
        <v>879</v>
      </c>
      <c r="C57" s="31" t="s">
        <v>919</v>
      </c>
    </row>
    <row r="58" spans="1:3" ht="47.25" x14ac:dyDescent="0.25">
      <c r="A58" s="53" t="s">
        <v>632</v>
      </c>
      <c r="B58" s="31" t="s">
        <v>880</v>
      </c>
      <c r="C58" s="31" t="s">
        <v>929</v>
      </c>
    </row>
    <row r="59" spans="1:3" ht="31.5" x14ac:dyDescent="0.25">
      <c r="A59" s="53" t="s">
        <v>633</v>
      </c>
      <c r="B59" s="31" t="s">
        <v>881</v>
      </c>
      <c r="C59" s="31" t="s">
        <v>918</v>
      </c>
    </row>
    <row r="60" spans="1:3" x14ac:dyDescent="0.25">
      <c r="A60" s="51" t="s">
        <v>882</v>
      </c>
      <c r="B60" s="51" t="s">
        <v>883</v>
      </c>
      <c r="C60" s="51"/>
    </row>
    <row r="61" spans="1:3" ht="31.5" x14ac:dyDescent="0.25">
      <c r="A61" s="53" t="s">
        <v>634</v>
      </c>
      <c r="B61" s="31" t="s">
        <v>884</v>
      </c>
      <c r="C61" s="31" t="s">
        <v>927</v>
      </c>
    </row>
    <row r="62" spans="1:3" ht="31.5" x14ac:dyDescent="0.25">
      <c r="A62" s="53" t="s">
        <v>635</v>
      </c>
      <c r="B62" s="31" t="s">
        <v>885</v>
      </c>
      <c r="C62" s="31" t="s">
        <v>927</v>
      </c>
    </row>
    <row r="63" spans="1:3" ht="31.5" x14ac:dyDescent="0.25">
      <c r="A63" s="53" t="s">
        <v>636</v>
      </c>
      <c r="B63" s="31" t="s">
        <v>886</v>
      </c>
      <c r="C63" s="31" t="s">
        <v>928</v>
      </c>
    </row>
    <row r="64" spans="1:3" ht="47.25" x14ac:dyDescent="0.25">
      <c r="A64" s="53" t="s">
        <v>637</v>
      </c>
      <c r="B64" s="31" t="s">
        <v>887</v>
      </c>
      <c r="C64" s="31" t="s">
        <v>929</v>
      </c>
    </row>
    <row r="65" spans="1:3" ht="47.25" x14ac:dyDescent="0.25">
      <c r="A65" s="53" t="s">
        <v>638</v>
      </c>
      <c r="B65" s="31" t="s">
        <v>888</v>
      </c>
      <c r="C65" s="31" t="s">
        <v>929</v>
      </c>
    </row>
    <row r="66" spans="1:3" ht="47.25" x14ac:dyDescent="0.25">
      <c r="A66" s="53" t="s">
        <v>639</v>
      </c>
      <c r="B66" s="31" t="s">
        <v>889</v>
      </c>
      <c r="C66" s="31" t="s">
        <v>929</v>
      </c>
    </row>
    <row r="67" spans="1:3" ht="31.5" x14ac:dyDescent="0.25">
      <c r="A67" s="53" t="s">
        <v>640</v>
      </c>
      <c r="B67" s="31" t="s">
        <v>890</v>
      </c>
      <c r="C67" s="31" t="s">
        <v>918</v>
      </c>
    </row>
    <row r="68" spans="1:3" ht="47.25" x14ac:dyDescent="0.25">
      <c r="A68" s="53" t="s">
        <v>743</v>
      </c>
      <c r="B68" s="31" t="s">
        <v>891</v>
      </c>
      <c r="C68" s="31" t="s">
        <v>930</v>
      </c>
    </row>
    <row r="69" spans="1:3" ht="31.5" x14ac:dyDescent="0.25">
      <c r="A69" s="53" t="s">
        <v>747</v>
      </c>
      <c r="B69" s="31" t="s">
        <v>892</v>
      </c>
      <c r="C69" s="31" t="s">
        <v>918</v>
      </c>
    </row>
    <row r="70" spans="1:3" ht="31.5" x14ac:dyDescent="0.25">
      <c r="A70" s="53" t="s">
        <v>750</v>
      </c>
      <c r="B70" s="31" t="s">
        <v>893</v>
      </c>
      <c r="C70" s="31" t="s">
        <v>918</v>
      </c>
    </row>
    <row r="71" spans="1:3" ht="47.25" x14ac:dyDescent="0.25">
      <c r="A71" s="53" t="s">
        <v>762</v>
      </c>
      <c r="B71" s="31" t="s">
        <v>894</v>
      </c>
      <c r="C71" s="31" t="s">
        <v>929</v>
      </c>
    </row>
    <row r="72" spans="1:3" ht="47.25" x14ac:dyDescent="0.25">
      <c r="A72" s="53" t="s">
        <v>772</v>
      </c>
      <c r="B72" s="31" t="s">
        <v>895</v>
      </c>
      <c r="C72" s="31" t="s">
        <v>929</v>
      </c>
    </row>
    <row r="73" spans="1:3" ht="31.5" x14ac:dyDescent="0.25">
      <c r="A73" s="53" t="s">
        <v>790</v>
      </c>
      <c r="B73" s="31" t="s">
        <v>896</v>
      </c>
      <c r="C73" s="31" t="s">
        <v>927</v>
      </c>
    </row>
    <row r="74" spans="1:3" ht="47.25" x14ac:dyDescent="0.25">
      <c r="A74" s="53" t="s">
        <v>795</v>
      </c>
      <c r="B74" s="31" t="s">
        <v>897</v>
      </c>
      <c r="C74" s="31" t="s">
        <v>929</v>
      </c>
    </row>
    <row r="75" spans="1:3" ht="63" x14ac:dyDescent="0.25">
      <c r="A75" s="53" t="s">
        <v>802</v>
      </c>
      <c r="B75" s="31" t="s">
        <v>898</v>
      </c>
      <c r="C75" s="31" t="s">
        <v>916</v>
      </c>
    </row>
    <row r="76" spans="1:3" ht="47.25" x14ac:dyDescent="0.25">
      <c r="A76" s="53" t="s">
        <v>810</v>
      </c>
      <c r="B76" s="31" t="s">
        <v>899</v>
      </c>
      <c r="C76" s="31" t="s">
        <v>914</v>
      </c>
    </row>
    <row r="77" spans="1:3" ht="31.5" x14ac:dyDescent="0.25">
      <c r="A77" s="53" t="s">
        <v>817</v>
      </c>
      <c r="B77" s="31" t="s">
        <v>900</v>
      </c>
      <c r="C77" s="31" t="s">
        <v>915</v>
      </c>
    </row>
  </sheetData>
  <mergeCells count="6">
    <mergeCell ref="C43:C44"/>
    <mergeCell ref="A2:C2"/>
    <mergeCell ref="A1:C1"/>
    <mergeCell ref="C8:C11"/>
    <mergeCell ref="C19:C27"/>
    <mergeCell ref="C31:C32"/>
  </mergeCells>
  <hyperlinks>
    <hyperlink ref="A5" location="'01'!A1" display="Biểu mẫu số 01"/>
    <hyperlink ref="A6" location="'02'!A1" display="Biểu mẫu số 02"/>
    <hyperlink ref="A8" location="'03'!A1" display="Biểu mẫu số 03"/>
    <hyperlink ref="A9" location="'04'!A1" display="Biểu mẫu số 04"/>
    <hyperlink ref="A10" location="'05'!A1" display="Biểu mẫu số 05"/>
    <hyperlink ref="A11" location="'06'!A1" display="Biểu mẫu số 06"/>
    <hyperlink ref="A13" location="'07'!A1" display="Biểu mẫu số 07"/>
    <hyperlink ref="A14" location="'08'!A1" display="Biểu mẫu số 08"/>
    <hyperlink ref="A15" location="'09'!A1" display="Biểu mẫu số 09"/>
    <hyperlink ref="A16" location="'10'!A1" display="Biểu mẫu số 10"/>
    <hyperlink ref="A17" location="'11'!A1" display="Biểu mẫu số 11"/>
    <hyperlink ref="A20" location="'12'!A1" display="Biểu mẫu số 12"/>
    <hyperlink ref="A21" location="'13'!A1" display="Biểu mẫu số 13"/>
    <hyperlink ref="A22" location="'14'!A1" display="Biểu mẫu số 14"/>
    <hyperlink ref="A24" location="'15'!A1" display="Biểu mẫu số 15"/>
    <hyperlink ref="A25" location="'16'!A1" display="Biểu mẫu số 16"/>
    <hyperlink ref="A26" location="'17'!A1" display="Biểu mẫu số 17"/>
    <hyperlink ref="A27" location="'18'!A1" display="Biểu mẫu số 18"/>
    <hyperlink ref="A30" location="'19'!A1" display="Biểu mẫu số 19"/>
    <hyperlink ref="A31" location="'20'!A1" display="Biểu mẫu số 20"/>
    <hyperlink ref="A32" location="'21'!A1" display="Biểu mẫu số 21"/>
    <hyperlink ref="A33" location="'22'!A1" display="Biểu mẫu số 22"/>
    <hyperlink ref="A34" location="'23'!A1" display="Biểu mẫu số 23"/>
    <hyperlink ref="A35" location="'24'!A1" display="Biểu mẫu số 24"/>
    <hyperlink ref="A36" location="'25'!A1" display="Biểu mẫu số 25"/>
    <hyperlink ref="A37" location="'26'!A1" display="Biểu mẫu số 26"/>
    <hyperlink ref="A38" location="'27'!A1" display="Biểu mẫu số 27"/>
    <hyperlink ref="A39" location="'28'!A1" display="Biểu mẫu số 28"/>
    <hyperlink ref="A40" location="'29'!A1" display="Biểu mẫu số 29"/>
    <hyperlink ref="A42" location="'30'!A1" display="Biểu mẫu số 30"/>
    <hyperlink ref="A43" location="'31'!A1" display="Biểu mẫu số 31"/>
    <hyperlink ref="A44" location="'32'!A1" display="Biểu mẫu số 32"/>
    <hyperlink ref="A45" location="'33'!A1" display="Biểu mẫu số 33"/>
    <hyperlink ref="A46" location="'34'!A1" display="Biểu mẫu số 34"/>
    <hyperlink ref="A47" location="'35'!A1" display="Biểu mẫu số 35"/>
    <hyperlink ref="A48" location="'36'!A1" display="Biểu mẫu số 36"/>
    <hyperlink ref="A49" location="'37'!A1" display="Biểu mẫu số 37"/>
    <hyperlink ref="A50" location="'38'!A1" display="Biểu mẫu số 38"/>
    <hyperlink ref="A51" location="'39'!A1" display="Biểu mẫu số 39"/>
    <hyperlink ref="A52" location="'40'!A1" display="Biểu mẫu số 40"/>
    <hyperlink ref="A53" location="'41'!A1" display="Biểu mẫu số 41"/>
    <hyperlink ref="A54" location="'42'!A1" display="Biểu mẫu số 42"/>
    <hyperlink ref="A55" location="'43'!A1" display="Biểu mẫu số 43"/>
    <hyperlink ref="A56" location="'44'!A1" display="Biểu mẫu số 44"/>
    <hyperlink ref="A57" location="'45'!A1" display="Biểu mẫu số 45"/>
    <hyperlink ref="A58" location="'46'!A1" display="Biểu mẫu số 46"/>
    <hyperlink ref="A59" location="'47'!A1" display="Biểu mẫu số 47"/>
    <hyperlink ref="A61" location="'48'!A1" display="Biểu mẫu số 48"/>
    <hyperlink ref="A62" location="'49'!A1" display="Biểu mẫu số 49"/>
    <hyperlink ref="A63" location="'50'!A1" display="Biểu mẫu số 50"/>
    <hyperlink ref="A64" location="'51'!A1" display="Biểu mẫu số 51"/>
    <hyperlink ref="A65" location="'52'!A1" display="Biểu mẫu số 52"/>
    <hyperlink ref="A66" location="'53'!A1" display="Biểu mẫu số 53"/>
    <hyperlink ref="A67" location="'54'!A1" display="Biểu mẫu số 54"/>
    <hyperlink ref="A68" location="'55'!A1" display="Biểu mẫu số 55"/>
    <hyperlink ref="A69" location="'56'!A1" display="Biểu mẫu số 56"/>
    <hyperlink ref="A70" location="'57'!A1" display="Biểu mẫu số 57"/>
    <hyperlink ref="A71" location="'58'!A1" display="Biểu mẫu số 58"/>
    <hyperlink ref="A72" location="'59'!A1" display="Biểu mẫu số 59"/>
    <hyperlink ref="A73" location="'60'!A1" display="Biểu mẫu số 60"/>
    <hyperlink ref="A74" location="'61'!A1" display="Biểu mẫu số 61"/>
    <hyperlink ref="A75" location="'62'!A1" display="Biểu mẫu số 62"/>
    <hyperlink ref="A76" location="'63'!A1" display="Biểu mẫu số 63"/>
    <hyperlink ref="A77" location="'64'!A1" display="Biểu mẫu số 64"/>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sheetPr>
  <dimension ref="A1:G37"/>
  <sheetViews>
    <sheetView workbookViewId="0">
      <selection activeCell="E33" sqref="E33"/>
    </sheetView>
  </sheetViews>
  <sheetFormatPr defaultColWidth="9.140625" defaultRowHeight="15" x14ac:dyDescent="0.25"/>
  <cols>
    <col min="1" max="1" width="5.42578125" style="1" customWidth="1"/>
    <col min="2" max="2" width="42.28515625" style="1" customWidth="1"/>
    <col min="3" max="4" width="11" style="1" customWidth="1"/>
    <col min="5" max="6" width="10.5703125" style="1" customWidth="1"/>
    <col min="7" max="7" width="10" style="1" customWidth="1"/>
    <col min="8" max="16384" width="9.140625" style="1"/>
  </cols>
  <sheetData>
    <row r="1" spans="1:7" x14ac:dyDescent="0.25">
      <c r="A1" s="434" t="s">
        <v>294</v>
      </c>
      <c r="B1" s="434"/>
      <c r="C1" s="434"/>
      <c r="D1" s="434"/>
      <c r="E1" s="434"/>
      <c r="F1" s="434"/>
      <c r="G1" s="434"/>
    </row>
    <row r="2" spans="1:7" ht="45.75" customHeight="1" x14ac:dyDescent="0.25">
      <c r="A2" s="417" t="s">
        <v>295</v>
      </c>
      <c r="B2" s="417"/>
      <c r="C2" s="417"/>
      <c r="D2" s="417"/>
      <c r="E2" s="417"/>
      <c r="F2" s="417"/>
      <c r="G2" s="417"/>
    </row>
    <row r="3" spans="1:7" x14ac:dyDescent="0.25">
      <c r="A3" s="435" t="s">
        <v>226</v>
      </c>
      <c r="B3" s="435"/>
      <c r="C3" s="435"/>
      <c r="D3" s="435"/>
      <c r="E3" s="435"/>
      <c r="F3" s="435"/>
      <c r="G3" s="435"/>
    </row>
    <row r="4" spans="1:7" x14ac:dyDescent="0.25">
      <c r="F4" s="424" t="s">
        <v>56</v>
      </c>
      <c r="G4" s="424"/>
    </row>
    <row r="5" spans="1:7" ht="57" x14ac:dyDescent="0.25">
      <c r="A5" s="2" t="s">
        <v>3</v>
      </c>
      <c r="B5" s="2" t="s">
        <v>4</v>
      </c>
      <c r="C5" s="2" t="s">
        <v>296</v>
      </c>
      <c r="D5" s="2" t="s">
        <v>297</v>
      </c>
      <c r="E5" s="2" t="s">
        <v>298</v>
      </c>
      <c r="F5" s="2" t="s">
        <v>231</v>
      </c>
      <c r="G5" s="2" t="s">
        <v>232</v>
      </c>
    </row>
    <row r="6" spans="1:7" x14ac:dyDescent="0.25">
      <c r="A6" s="2" t="s">
        <v>15</v>
      </c>
      <c r="B6" s="2" t="s">
        <v>16</v>
      </c>
      <c r="C6" s="2">
        <v>1</v>
      </c>
      <c r="D6" s="2">
        <v>2</v>
      </c>
      <c r="E6" s="2">
        <v>3</v>
      </c>
      <c r="F6" s="2">
        <v>4</v>
      </c>
      <c r="G6" s="2">
        <v>5</v>
      </c>
    </row>
    <row r="7" spans="1:7" x14ac:dyDescent="0.25">
      <c r="A7" s="2" t="s">
        <v>15</v>
      </c>
      <c r="B7" s="14" t="s">
        <v>299</v>
      </c>
      <c r="C7" s="55"/>
      <c r="D7" s="55"/>
      <c r="E7" s="55"/>
      <c r="F7" s="55"/>
      <c r="G7" s="55"/>
    </row>
    <row r="8" spans="1:7" x14ac:dyDescent="0.25">
      <c r="A8" s="2" t="s">
        <v>83</v>
      </c>
      <c r="B8" s="14" t="s">
        <v>300</v>
      </c>
      <c r="C8" s="57">
        <f>+C9+C10+C13+C14+C15</f>
        <v>0</v>
      </c>
      <c r="D8" s="57">
        <f t="shared" ref="D8:G8" si="0">+D9+D10+D13+D14+D15</f>
        <v>0</v>
      </c>
      <c r="E8" s="57">
        <f t="shared" si="0"/>
        <v>0</v>
      </c>
      <c r="F8" s="57">
        <f t="shared" si="0"/>
        <v>0</v>
      </c>
      <c r="G8" s="57">
        <f t="shared" si="0"/>
        <v>0</v>
      </c>
    </row>
    <row r="9" spans="1:7" x14ac:dyDescent="0.25">
      <c r="A9" s="3">
        <v>1</v>
      </c>
      <c r="B9" s="4" t="s">
        <v>301</v>
      </c>
      <c r="C9" s="55"/>
      <c r="D9" s="55"/>
      <c r="E9" s="55"/>
      <c r="F9" s="55"/>
      <c r="G9" s="55"/>
    </row>
    <row r="10" spans="1:7" x14ac:dyDescent="0.25">
      <c r="A10" s="3">
        <v>2</v>
      </c>
      <c r="B10" s="4" t="s">
        <v>302</v>
      </c>
      <c r="C10" s="55">
        <f>SUM(C11:C12)</f>
        <v>0</v>
      </c>
      <c r="D10" s="55">
        <f t="shared" ref="D10:G10" si="1">SUM(D11:D12)</f>
        <v>0</v>
      </c>
      <c r="E10" s="55">
        <f t="shared" si="1"/>
        <v>0</v>
      </c>
      <c r="F10" s="55">
        <f t="shared" si="1"/>
        <v>0</v>
      </c>
      <c r="G10" s="55">
        <f t="shared" si="1"/>
        <v>0</v>
      </c>
    </row>
    <row r="11" spans="1:7" x14ac:dyDescent="0.25">
      <c r="A11" s="3" t="s">
        <v>22</v>
      </c>
      <c r="B11" s="4" t="s">
        <v>240</v>
      </c>
      <c r="C11" s="55"/>
      <c r="D11" s="55"/>
      <c r="E11" s="55"/>
      <c r="F11" s="55"/>
      <c r="G11" s="55"/>
    </row>
    <row r="12" spans="1:7" x14ac:dyDescent="0.25">
      <c r="A12" s="3" t="s">
        <v>22</v>
      </c>
      <c r="B12" s="4" t="s">
        <v>88</v>
      </c>
      <c r="C12" s="55"/>
      <c r="D12" s="55"/>
      <c r="E12" s="55"/>
      <c r="F12" s="55"/>
      <c r="G12" s="55"/>
    </row>
    <row r="13" spans="1:7" x14ac:dyDescent="0.25">
      <c r="A13" s="3">
        <v>3</v>
      </c>
      <c r="B13" s="4" t="s">
        <v>241</v>
      </c>
      <c r="C13" s="55"/>
      <c r="D13" s="55"/>
      <c r="E13" s="55"/>
      <c r="F13" s="55"/>
      <c r="G13" s="55"/>
    </row>
    <row r="14" spans="1:7" x14ac:dyDescent="0.25">
      <c r="A14" s="3">
        <v>4</v>
      </c>
      <c r="B14" s="4" t="s">
        <v>303</v>
      </c>
      <c r="C14" s="55"/>
      <c r="D14" s="55"/>
      <c r="E14" s="55"/>
      <c r="F14" s="55"/>
      <c r="G14" s="55"/>
    </row>
    <row r="15" spans="1:7" x14ac:dyDescent="0.25">
      <c r="A15" s="3">
        <v>5</v>
      </c>
      <c r="B15" s="4" t="s">
        <v>243</v>
      </c>
      <c r="C15" s="55"/>
      <c r="D15" s="55"/>
      <c r="E15" s="55"/>
      <c r="F15" s="55"/>
      <c r="G15" s="55"/>
    </row>
    <row r="16" spans="1:7" x14ac:dyDescent="0.25">
      <c r="A16" s="2" t="s">
        <v>70</v>
      </c>
      <c r="B16" s="14" t="s">
        <v>304</v>
      </c>
      <c r="C16" s="57">
        <f>+C17+C18+C21</f>
        <v>0</v>
      </c>
      <c r="D16" s="57">
        <f t="shared" ref="D16:G16" si="2">+D17+D18+D21</f>
        <v>0</v>
      </c>
      <c r="E16" s="57">
        <f t="shared" si="2"/>
        <v>0</v>
      </c>
      <c r="F16" s="57">
        <f t="shared" si="2"/>
        <v>0</v>
      </c>
      <c r="G16" s="57">
        <f t="shared" si="2"/>
        <v>0</v>
      </c>
    </row>
    <row r="17" spans="1:7" x14ac:dyDescent="0.25">
      <c r="A17" s="3">
        <v>1</v>
      </c>
      <c r="B17" s="4" t="s">
        <v>305</v>
      </c>
      <c r="C17" s="55"/>
      <c r="D17" s="55"/>
      <c r="E17" s="55"/>
      <c r="F17" s="55"/>
      <c r="G17" s="55"/>
    </row>
    <row r="18" spans="1:7" x14ac:dyDescent="0.25">
      <c r="A18" s="3">
        <v>2</v>
      </c>
      <c r="B18" s="4" t="s">
        <v>306</v>
      </c>
      <c r="C18" s="55">
        <f t="shared" ref="C18:G18" si="3">SUM(C19:C20)</f>
        <v>0</v>
      </c>
      <c r="D18" s="55">
        <f t="shared" si="3"/>
        <v>0</v>
      </c>
      <c r="E18" s="55">
        <f t="shared" si="3"/>
        <v>0</v>
      </c>
      <c r="F18" s="55">
        <f t="shared" si="3"/>
        <v>0</v>
      </c>
      <c r="G18" s="55">
        <f t="shared" si="3"/>
        <v>0</v>
      </c>
    </row>
    <row r="19" spans="1:7" x14ac:dyDescent="0.25">
      <c r="A19" s="3" t="s">
        <v>22</v>
      </c>
      <c r="B19" s="4" t="s">
        <v>307</v>
      </c>
      <c r="C19" s="55"/>
      <c r="D19" s="55"/>
      <c r="E19" s="55"/>
      <c r="F19" s="55"/>
      <c r="G19" s="55"/>
    </row>
    <row r="20" spans="1:7" x14ac:dyDescent="0.25">
      <c r="A20" s="3" t="s">
        <v>22</v>
      </c>
      <c r="B20" s="4" t="s">
        <v>308</v>
      </c>
      <c r="C20" s="55"/>
      <c r="D20" s="55"/>
      <c r="E20" s="55"/>
      <c r="F20" s="55"/>
      <c r="G20" s="55"/>
    </row>
    <row r="21" spans="1:7" x14ac:dyDescent="0.25">
      <c r="A21" s="3">
        <v>3</v>
      </c>
      <c r="B21" s="4" t="s">
        <v>251</v>
      </c>
      <c r="C21" s="55"/>
      <c r="D21" s="55"/>
      <c r="E21" s="55"/>
      <c r="F21" s="55"/>
      <c r="G21" s="55"/>
    </row>
    <row r="22" spans="1:7" x14ac:dyDescent="0.25">
      <c r="A22" s="2" t="s">
        <v>73</v>
      </c>
      <c r="B22" s="14" t="s">
        <v>309</v>
      </c>
      <c r="C22" s="57">
        <f>+C8-C16</f>
        <v>0</v>
      </c>
      <c r="D22" s="57">
        <f t="shared" ref="D22:G22" si="4">+D8-D16</f>
        <v>0</v>
      </c>
      <c r="E22" s="57">
        <f t="shared" si="4"/>
        <v>0</v>
      </c>
      <c r="F22" s="57">
        <f t="shared" si="4"/>
        <v>0</v>
      </c>
      <c r="G22" s="57">
        <f t="shared" si="4"/>
        <v>0</v>
      </c>
    </row>
    <row r="23" spans="1:7" x14ac:dyDescent="0.25">
      <c r="A23" s="2" t="s">
        <v>16</v>
      </c>
      <c r="B23" s="14" t="s">
        <v>310</v>
      </c>
      <c r="C23" s="55"/>
      <c r="D23" s="55"/>
      <c r="E23" s="55"/>
      <c r="F23" s="55"/>
      <c r="G23" s="55"/>
    </row>
    <row r="24" spans="1:7" x14ac:dyDescent="0.25">
      <c r="A24" s="2" t="s">
        <v>83</v>
      </c>
      <c r="B24" s="14" t="s">
        <v>300</v>
      </c>
      <c r="C24" s="57">
        <f>+C25+C26+C29+C30</f>
        <v>0</v>
      </c>
      <c r="D24" s="57">
        <f t="shared" ref="D24:G24" si="5">+D25+D26+D29+D30</f>
        <v>0</v>
      </c>
      <c r="E24" s="57">
        <f t="shared" si="5"/>
        <v>0</v>
      </c>
      <c r="F24" s="57">
        <f t="shared" si="5"/>
        <v>0</v>
      </c>
      <c r="G24" s="57">
        <f t="shared" si="5"/>
        <v>0</v>
      </c>
    </row>
    <row r="25" spans="1:7" x14ac:dyDescent="0.25">
      <c r="A25" s="3">
        <v>1</v>
      </c>
      <c r="B25" s="4" t="s">
        <v>301</v>
      </c>
      <c r="C25" s="55"/>
      <c r="D25" s="55"/>
      <c r="E25" s="55"/>
      <c r="F25" s="55"/>
      <c r="G25" s="55"/>
    </row>
    <row r="26" spans="1:7" x14ac:dyDescent="0.25">
      <c r="A26" s="3">
        <v>2</v>
      </c>
      <c r="B26" s="4" t="s">
        <v>302</v>
      </c>
      <c r="C26" s="55">
        <f>SUM(C27:C28)</f>
        <v>0</v>
      </c>
      <c r="D26" s="55">
        <f t="shared" ref="D26" si="6">SUM(D27:D28)</f>
        <v>0</v>
      </c>
      <c r="E26" s="55">
        <f t="shared" ref="E26" si="7">SUM(E27:E28)</f>
        <v>0</v>
      </c>
      <c r="F26" s="55">
        <f t="shared" ref="F26" si="8">SUM(F27:F28)</f>
        <v>0</v>
      </c>
      <c r="G26" s="55">
        <f t="shared" ref="G26" si="9">SUM(G27:G28)</f>
        <v>0</v>
      </c>
    </row>
    <row r="27" spans="1:7" x14ac:dyDescent="0.25">
      <c r="A27" s="3" t="s">
        <v>22</v>
      </c>
      <c r="B27" s="4" t="s">
        <v>240</v>
      </c>
      <c r="C27" s="55"/>
      <c r="D27" s="55"/>
      <c r="E27" s="55"/>
      <c r="F27" s="55"/>
      <c r="G27" s="55"/>
    </row>
    <row r="28" spans="1:7" x14ac:dyDescent="0.25">
      <c r="A28" s="3" t="s">
        <v>22</v>
      </c>
      <c r="B28" s="4" t="s">
        <v>88</v>
      </c>
      <c r="C28" s="55"/>
      <c r="D28" s="55"/>
      <c r="E28" s="55"/>
      <c r="F28" s="55"/>
      <c r="G28" s="55"/>
    </row>
    <row r="29" spans="1:7" x14ac:dyDescent="0.25">
      <c r="A29" s="3">
        <v>3</v>
      </c>
      <c r="B29" s="4" t="s">
        <v>303</v>
      </c>
      <c r="C29" s="55"/>
      <c r="D29" s="55"/>
      <c r="E29" s="55"/>
      <c r="F29" s="55"/>
      <c r="G29" s="55"/>
    </row>
    <row r="30" spans="1:7" x14ac:dyDescent="0.25">
      <c r="A30" s="3">
        <v>4</v>
      </c>
      <c r="B30" s="4" t="s">
        <v>243</v>
      </c>
      <c r="C30" s="55"/>
      <c r="D30" s="55"/>
      <c r="E30" s="55"/>
      <c r="F30" s="55"/>
      <c r="G30" s="55"/>
    </row>
    <row r="31" spans="1:7" x14ac:dyDescent="0.25">
      <c r="A31" s="2" t="s">
        <v>70</v>
      </c>
      <c r="B31" s="14" t="s">
        <v>311</v>
      </c>
      <c r="C31" s="57">
        <f>+C32+C33+C36</f>
        <v>0</v>
      </c>
      <c r="D31" s="57">
        <f t="shared" ref="D31:G31" si="10">+D32+D33+D36</f>
        <v>0</v>
      </c>
      <c r="E31" s="57">
        <f t="shared" si="10"/>
        <v>0</v>
      </c>
      <c r="F31" s="57">
        <f t="shared" si="10"/>
        <v>0</v>
      </c>
      <c r="G31" s="57">
        <f t="shared" si="10"/>
        <v>0</v>
      </c>
    </row>
    <row r="32" spans="1:7" x14ac:dyDescent="0.25">
      <c r="A32" s="3">
        <v>1</v>
      </c>
      <c r="B32" s="4" t="s">
        <v>312</v>
      </c>
      <c r="C32" s="55"/>
      <c r="D32" s="55"/>
      <c r="E32" s="55"/>
      <c r="F32" s="55"/>
      <c r="G32" s="55"/>
    </row>
    <row r="33" spans="1:7" x14ac:dyDescent="0.25">
      <c r="A33" s="3">
        <v>2</v>
      </c>
      <c r="B33" s="4" t="s">
        <v>313</v>
      </c>
      <c r="C33" s="55">
        <f t="shared" ref="C33:G33" si="11">SUM(C34:C35)</f>
        <v>0</v>
      </c>
      <c r="D33" s="55">
        <f t="shared" si="11"/>
        <v>0</v>
      </c>
      <c r="E33" s="55">
        <f t="shared" si="11"/>
        <v>0</v>
      </c>
      <c r="F33" s="55">
        <f t="shared" si="11"/>
        <v>0</v>
      </c>
      <c r="G33" s="55">
        <f t="shared" si="11"/>
        <v>0</v>
      </c>
    </row>
    <row r="34" spans="1:7" x14ac:dyDescent="0.25">
      <c r="A34" s="3" t="s">
        <v>22</v>
      </c>
      <c r="B34" s="4" t="s">
        <v>307</v>
      </c>
      <c r="C34" s="55"/>
      <c r="D34" s="55"/>
      <c r="E34" s="55"/>
      <c r="F34" s="55"/>
      <c r="G34" s="55"/>
    </row>
    <row r="35" spans="1:7" x14ac:dyDescent="0.25">
      <c r="A35" s="3" t="s">
        <v>22</v>
      </c>
      <c r="B35" s="4" t="s">
        <v>308</v>
      </c>
      <c r="C35" s="55"/>
      <c r="D35" s="55"/>
      <c r="E35" s="55"/>
      <c r="F35" s="55"/>
      <c r="G35" s="55"/>
    </row>
    <row r="36" spans="1:7" x14ac:dyDescent="0.25">
      <c r="A36" s="3">
        <v>3</v>
      </c>
      <c r="B36" s="4" t="s">
        <v>251</v>
      </c>
      <c r="C36" s="55"/>
      <c r="D36" s="55"/>
      <c r="E36" s="55"/>
      <c r="F36" s="55"/>
      <c r="G36" s="55"/>
    </row>
    <row r="37" spans="1:7" ht="39" customHeight="1" x14ac:dyDescent="0.25">
      <c r="A37" s="436" t="s">
        <v>314</v>
      </c>
      <c r="B37" s="436"/>
      <c r="C37" s="436"/>
      <c r="D37" s="436"/>
      <c r="E37" s="436"/>
      <c r="F37" s="436"/>
      <c r="G37" s="436"/>
    </row>
  </sheetData>
  <mergeCells count="5">
    <mergeCell ref="A1:G1"/>
    <mergeCell ref="A2:G2"/>
    <mergeCell ref="A3:G3"/>
    <mergeCell ref="F4:G4"/>
    <mergeCell ref="A37:G37"/>
  </mergeCells>
  <pageMargins left="0.61" right="0.43307086614173229" top="0.74803149606299213" bottom="0.74803149606299213" header="0.31496062992125984" footer="0.31496062992125984"/>
  <pageSetup paperSize="9" scale="95"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39997558519241921"/>
  </sheetPr>
  <dimension ref="A1:G25"/>
  <sheetViews>
    <sheetView workbookViewId="0">
      <selection activeCell="E33" sqref="E33"/>
    </sheetView>
  </sheetViews>
  <sheetFormatPr defaultColWidth="9.140625" defaultRowHeight="15" x14ac:dyDescent="0.25"/>
  <cols>
    <col min="1" max="1" width="6" style="1" customWidth="1"/>
    <col min="2" max="2" width="53.140625" style="1" customWidth="1"/>
    <col min="3" max="7" width="9.42578125" style="1" customWidth="1"/>
    <col min="8" max="16384" width="9.140625" style="1"/>
  </cols>
  <sheetData>
    <row r="1" spans="1:7" x14ac:dyDescent="0.25">
      <c r="A1" s="434" t="s">
        <v>315</v>
      </c>
      <c r="B1" s="434"/>
      <c r="C1" s="434"/>
      <c r="D1" s="434"/>
      <c r="E1" s="434"/>
      <c r="F1" s="434"/>
      <c r="G1" s="434"/>
    </row>
    <row r="2" spans="1:7" ht="24" customHeight="1" x14ac:dyDescent="0.25">
      <c r="A2" s="417" t="s">
        <v>316</v>
      </c>
      <c r="B2" s="417"/>
      <c r="C2" s="417"/>
      <c r="D2" s="417"/>
      <c r="E2" s="417"/>
      <c r="F2" s="417"/>
      <c r="G2" s="417"/>
    </row>
    <row r="3" spans="1:7" x14ac:dyDescent="0.25">
      <c r="A3" s="435" t="s">
        <v>226</v>
      </c>
      <c r="B3" s="435"/>
      <c r="C3" s="435"/>
      <c r="D3" s="435"/>
      <c r="E3" s="435"/>
      <c r="F3" s="435"/>
      <c r="G3" s="435"/>
    </row>
    <row r="4" spans="1:7" x14ac:dyDescent="0.25">
      <c r="F4" s="437" t="s">
        <v>56</v>
      </c>
      <c r="G4" s="437"/>
    </row>
    <row r="5" spans="1:7" ht="73.5" customHeight="1" x14ac:dyDescent="0.25">
      <c r="A5" s="2" t="s">
        <v>3</v>
      </c>
      <c r="B5" s="2" t="s">
        <v>4</v>
      </c>
      <c r="C5" s="2" t="s">
        <v>296</v>
      </c>
      <c r="D5" s="2" t="s">
        <v>230</v>
      </c>
      <c r="E5" s="2" t="s">
        <v>229</v>
      </c>
      <c r="F5" s="2" t="s">
        <v>231</v>
      </c>
      <c r="G5" s="2" t="s">
        <v>232</v>
      </c>
    </row>
    <row r="6" spans="1:7" x14ac:dyDescent="0.25">
      <c r="A6" s="2" t="s">
        <v>15</v>
      </c>
      <c r="B6" s="2" t="s">
        <v>16</v>
      </c>
      <c r="C6" s="2">
        <v>1</v>
      </c>
      <c r="D6" s="2">
        <v>2</v>
      </c>
      <c r="E6" s="2" t="s">
        <v>269</v>
      </c>
      <c r="F6" s="2">
        <v>4</v>
      </c>
      <c r="G6" s="2">
        <v>5</v>
      </c>
    </row>
    <row r="7" spans="1:7" x14ac:dyDescent="0.25">
      <c r="A7" s="2"/>
      <c r="B7" s="14" t="s">
        <v>317</v>
      </c>
      <c r="C7" s="3"/>
      <c r="D7" s="3"/>
      <c r="E7" s="3"/>
      <c r="F7" s="3"/>
      <c r="G7" s="3"/>
    </row>
    <row r="8" spans="1:7" x14ac:dyDescent="0.25">
      <c r="A8" s="2" t="s">
        <v>15</v>
      </c>
      <c r="B8" s="14" t="s">
        <v>318</v>
      </c>
      <c r="C8" s="3"/>
      <c r="D8" s="3"/>
      <c r="E8" s="3"/>
      <c r="F8" s="3"/>
      <c r="G8" s="3"/>
    </row>
    <row r="9" spans="1:7" x14ac:dyDescent="0.25">
      <c r="A9" s="2" t="s">
        <v>83</v>
      </c>
      <c r="B9" s="14" t="s">
        <v>319</v>
      </c>
      <c r="C9" s="3"/>
      <c r="D9" s="3"/>
      <c r="E9" s="3"/>
      <c r="F9" s="3"/>
      <c r="G9" s="3"/>
    </row>
    <row r="10" spans="1:7" x14ac:dyDescent="0.25">
      <c r="A10" s="2" t="s">
        <v>70</v>
      </c>
      <c r="B10" s="14" t="s">
        <v>308</v>
      </c>
      <c r="C10" s="3"/>
      <c r="D10" s="3"/>
      <c r="E10" s="3"/>
      <c r="F10" s="3"/>
      <c r="G10" s="3"/>
    </row>
    <row r="11" spans="1:7" x14ac:dyDescent="0.25">
      <c r="A11" s="2" t="s">
        <v>16</v>
      </c>
      <c r="B11" s="14" t="s">
        <v>320</v>
      </c>
      <c r="C11" s="3"/>
      <c r="D11" s="3"/>
      <c r="E11" s="3"/>
      <c r="F11" s="3"/>
      <c r="G11" s="3"/>
    </row>
    <row r="12" spans="1:7" x14ac:dyDescent="0.25">
      <c r="A12" s="2" t="s">
        <v>83</v>
      </c>
      <c r="B12" s="14" t="s">
        <v>93</v>
      </c>
      <c r="C12" s="3"/>
      <c r="D12" s="3"/>
      <c r="E12" s="3"/>
      <c r="F12" s="3"/>
      <c r="G12" s="3"/>
    </row>
    <row r="13" spans="1:7" x14ac:dyDescent="0.25">
      <c r="A13" s="3">
        <v>1</v>
      </c>
      <c r="B13" s="4" t="s">
        <v>321</v>
      </c>
      <c r="C13" s="3"/>
      <c r="D13" s="3"/>
      <c r="E13" s="3"/>
      <c r="F13" s="3"/>
      <c r="G13" s="3"/>
    </row>
    <row r="14" spans="1:7" x14ac:dyDescent="0.25">
      <c r="A14" s="22"/>
      <c r="B14" s="5" t="s">
        <v>134</v>
      </c>
      <c r="C14" s="3"/>
      <c r="D14" s="3"/>
      <c r="E14" s="3"/>
      <c r="F14" s="3"/>
      <c r="G14" s="3"/>
    </row>
    <row r="15" spans="1:7" x14ac:dyDescent="0.25">
      <c r="A15" s="22" t="s">
        <v>22</v>
      </c>
      <c r="B15" s="5" t="s">
        <v>249</v>
      </c>
      <c r="C15" s="3"/>
      <c r="D15" s="3"/>
      <c r="E15" s="3"/>
      <c r="F15" s="3"/>
      <c r="G15" s="3"/>
    </row>
    <row r="16" spans="1:7" x14ac:dyDescent="0.25">
      <c r="A16" s="22" t="s">
        <v>22</v>
      </c>
      <c r="B16" s="5" t="s">
        <v>322</v>
      </c>
      <c r="C16" s="3"/>
      <c r="D16" s="3"/>
      <c r="E16" s="3"/>
      <c r="F16" s="3"/>
      <c r="G16" s="3"/>
    </row>
    <row r="17" spans="1:7" ht="60" x14ac:dyDescent="0.25">
      <c r="A17" s="3">
        <v>2</v>
      </c>
      <c r="B17" s="4" t="s">
        <v>323</v>
      </c>
      <c r="C17" s="3"/>
      <c r="D17" s="3"/>
      <c r="E17" s="3"/>
      <c r="F17" s="3"/>
      <c r="G17" s="3"/>
    </row>
    <row r="18" spans="1:7" x14ac:dyDescent="0.25">
      <c r="A18" s="2" t="s">
        <v>70</v>
      </c>
      <c r="B18" s="14" t="s">
        <v>324</v>
      </c>
      <c r="C18" s="3"/>
      <c r="D18" s="3"/>
      <c r="E18" s="3"/>
      <c r="F18" s="3"/>
      <c r="G18" s="3"/>
    </row>
    <row r="19" spans="1:7" x14ac:dyDescent="0.25">
      <c r="A19" s="22"/>
      <c r="B19" s="5" t="s">
        <v>134</v>
      </c>
      <c r="C19" s="3"/>
      <c r="D19" s="3"/>
      <c r="E19" s="3"/>
      <c r="F19" s="3"/>
      <c r="G19" s="3"/>
    </row>
    <row r="20" spans="1:7" x14ac:dyDescent="0.25">
      <c r="A20" s="22" t="s">
        <v>22</v>
      </c>
      <c r="B20" s="5" t="s">
        <v>249</v>
      </c>
      <c r="C20" s="3"/>
      <c r="D20" s="3"/>
      <c r="E20" s="3"/>
      <c r="F20" s="3"/>
      <c r="G20" s="3"/>
    </row>
    <row r="21" spans="1:7" x14ac:dyDescent="0.25">
      <c r="A21" s="22" t="s">
        <v>22</v>
      </c>
      <c r="B21" s="5" t="s">
        <v>250</v>
      </c>
      <c r="C21" s="3"/>
      <c r="D21" s="3"/>
      <c r="E21" s="3"/>
      <c r="F21" s="3"/>
      <c r="G21" s="3"/>
    </row>
    <row r="22" spans="1:7" x14ac:dyDescent="0.25">
      <c r="A22" s="2" t="s">
        <v>73</v>
      </c>
      <c r="B22" s="14" t="s">
        <v>98</v>
      </c>
      <c r="C22" s="3"/>
      <c r="D22" s="3"/>
      <c r="E22" s="3"/>
      <c r="F22" s="3"/>
      <c r="G22" s="3"/>
    </row>
    <row r="23" spans="1:7" ht="25.5" customHeight="1" x14ac:dyDescent="0.25">
      <c r="A23" s="21" t="s">
        <v>326</v>
      </c>
    </row>
    <row r="24" spans="1:7" ht="51" customHeight="1" x14ac:dyDescent="0.25">
      <c r="A24" s="425" t="s">
        <v>327</v>
      </c>
      <c r="B24" s="425"/>
      <c r="C24" s="425"/>
      <c r="D24" s="425"/>
      <c r="E24" s="425"/>
      <c r="F24" s="425"/>
      <c r="G24" s="425"/>
    </row>
    <row r="25" spans="1:7" ht="39.75" customHeight="1" x14ac:dyDescent="0.25">
      <c r="A25" s="425" t="s">
        <v>325</v>
      </c>
      <c r="B25" s="425"/>
      <c r="C25" s="425"/>
      <c r="D25" s="425"/>
      <c r="E25" s="425"/>
      <c r="F25" s="425"/>
      <c r="G25" s="425"/>
    </row>
  </sheetData>
  <mergeCells count="6">
    <mergeCell ref="A25:G25"/>
    <mergeCell ref="A1:G1"/>
    <mergeCell ref="A2:G2"/>
    <mergeCell ref="A3:G3"/>
    <mergeCell ref="F4:G4"/>
    <mergeCell ref="A24:G24"/>
  </mergeCells>
  <pageMargins left="0.70866141732283472" right="0.34" top="0.74803149606299213" bottom="0.74803149606299213" header="0.31496062992125984" footer="0.31496062992125984"/>
  <pageSetup paperSize="9" scale="90"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39997558519241921"/>
  </sheetPr>
  <dimension ref="A1:G64"/>
  <sheetViews>
    <sheetView topLeftCell="A11" workbookViewId="0">
      <selection activeCell="E33" sqref="E33"/>
    </sheetView>
  </sheetViews>
  <sheetFormatPr defaultColWidth="9.140625" defaultRowHeight="15" x14ac:dyDescent="0.25"/>
  <cols>
    <col min="1" max="1" width="5.5703125" style="1" customWidth="1"/>
    <col min="2" max="2" width="45.7109375" style="1" customWidth="1"/>
    <col min="3" max="4" width="11.5703125" style="1" customWidth="1"/>
    <col min="5" max="7" width="12.5703125" style="1" customWidth="1"/>
    <col min="8" max="16384" width="9.140625" style="1"/>
  </cols>
  <sheetData>
    <row r="1" spans="1:7" x14ac:dyDescent="0.25">
      <c r="A1" s="434" t="s">
        <v>328</v>
      </c>
      <c r="B1" s="434"/>
      <c r="C1" s="434"/>
      <c r="D1" s="434"/>
      <c r="E1" s="434"/>
      <c r="F1" s="434"/>
      <c r="G1" s="434"/>
    </row>
    <row r="2" spans="1:7" ht="19.5" customHeight="1" x14ac:dyDescent="0.25">
      <c r="A2" s="417" t="s">
        <v>329</v>
      </c>
      <c r="B2" s="417"/>
      <c r="C2" s="417"/>
      <c r="D2" s="417"/>
      <c r="E2" s="417"/>
      <c r="F2" s="417"/>
      <c r="G2" s="417"/>
    </row>
    <row r="3" spans="1:7" x14ac:dyDescent="0.25">
      <c r="A3" s="435" t="s">
        <v>330</v>
      </c>
      <c r="B3" s="435"/>
      <c r="C3" s="435"/>
      <c r="D3" s="435"/>
      <c r="E3" s="435"/>
      <c r="F3" s="435"/>
      <c r="G3" s="435"/>
    </row>
    <row r="4" spans="1:7" x14ac:dyDescent="0.25">
      <c r="F4" s="437" t="s">
        <v>331</v>
      </c>
      <c r="G4" s="437"/>
    </row>
    <row r="5" spans="1:7" ht="19.5" customHeight="1" x14ac:dyDescent="0.25">
      <c r="A5" s="421" t="s">
        <v>3</v>
      </c>
      <c r="B5" s="421" t="s">
        <v>4</v>
      </c>
      <c r="C5" s="421" t="s">
        <v>332</v>
      </c>
      <c r="D5" s="421"/>
      <c r="E5" s="421" t="s">
        <v>333</v>
      </c>
      <c r="F5" s="421"/>
      <c r="G5" s="421"/>
    </row>
    <row r="6" spans="1:7" ht="51" customHeight="1" x14ac:dyDescent="0.25">
      <c r="A6" s="421"/>
      <c r="B6" s="421"/>
      <c r="C6" s="2" t="s">
        <v>296</v>
      </c>
      <c r="D6" s="2" t="s">
        <v>297</v>
      </c>
      <c r="E6" s="2" t="s">
        <v>334</v>
      </c>
      <c r="F6" s="2" t="s">
        <v>231</v>
      </c>
      <c r="G6" s="2" t="s">
        <v>232</v>
      </c>
    </row>
    <row r="7" spans="1:7" x14ac:dyDescent="0.25">
      <c r="A7" s="3"/>
      <c r="B7" s="14" t="s">
        <v>133</v>
      </c>
      <c r="C7" s="3"/>
      <c r="D7" s="3"/>
      <c r="E7" s="3"/>
      <c r="F7" s="3"/>
      <c r="G7" s="3"/>
    </row>
    <row r="8" spans="1:7" x14ac:dyDescent="0.25">
      <c r="A8" s="3"/>
      <c r="B8" s="5" t="s">
        <v>134</v>
      </c>
      <c r="C8" s="3"/>
      <c r="D8" s="3"/>
      <c r="E8" s="3"/>
      <c r="F8" s="3"/>
      <c r="G8" s="3"/>
    </row>
    <row r="9" spans="1:7" x14ac:dyDescent="0.25">
      <c r="A9" s="3" t="s">
        <v>22</v>
      </c>
      <c r="B9" s="5" t="s">
        <v>135</v>
      </c>
      <c r="C9" s="3"/>
      <c r="D9" s="3"/>
      <c r="E9" s="3"/>
      <c r="F9" s="3"/>
      <c r="G9" s="3"/>
    </row>
    <row r="10" spans="1:7" x14ac:dyDescent="0.25">
      <c r="A10" s="3" t="s">
        <v>22</v>
      </c>
      <c r="B10" s="5" t="s">
        <v>136</v>
      </c>
      <c r="C10" s="3"/>
      <c r="D10" s="3"/>
      <c r="E10" s="3"/>
      <c r="F10" s="3"/>
      <c r="G10" s="3"/>
    </row>
    <row r="11" spans="1:7" x14ac:dyDescent="0.25">
      <c r="A11" s="2" t="s">
        <v>15</v>
      </c>
      <c r="B11" s="14" t="s">
        <v>137</v>
      </c>
      <c r="C11" s="3"/>
      <c r="D11" s="3"/>
      <c r="E11" s="3"/>
      <c r="F11" s="3"/>
      <c r="G11" s="3"/>
    </row>
    <row r="12" spans="1:7" x14ac:dyDescent="0.25">
      <c r="A12" s="3"/>
      <c r="B12" s="5" t="s">
        <v>134</v>
      </c>
      <c r="C12" s="3"/>
      <c r="D12" s="3"/>
      <c r="E12" s="3"/>
      <c r="F12" s="3"/>
      <c r="G12" s="3"/>
    </row>
    <row r="13" spans="1:7" x14ac:dyDescent="0.25">
      <c r="A13" s="3" t="s">
        <v>22</v>
      </c>
      <c r="B13" s="5" t="s">
        <v>135</v>
      </c>
      <c r="C13" s="3"/>
      <c r="D13" s="3"/>
      <c r="E13" s="3"/>
      <c r="F13" s="3"/>
      <c r="G13" s="3"/>
    </row>
    <row r="14" spans="1:7" x14ac:dyDescent="0.25">
      <c r="A14" s="3" t="s">
        <v>22</v>
      </c>
      <c r="B14" s="5" t="s">
        <v>136</v>
      </c>
      <c r="C14" s="3"/>
      <c r="D14" s="3"/>
      <c r="E14" s="3"/>
      <c r="F14" s="3"/>
      <c r="G14" s="3"/>
    </row>
    <row r="15" spans="1:7" ht="28.5" x14ac:dyDescent="0.25">
      <c r="A15" s="2" t="s">
        <v>83</v>
      </c>
      <c r="B15" s="14" t="s">
        <v>335</v>
      </c>
      <c r="C15" s="3"/>
      <c r="D15" s="3"/>
      <c r="E15" s="3"/>
      <c r="F15" s="3"/>
      <c r="G15" s="3"/>
    </row>
    <row r="16" spans="1:7" x14ac:dyDescent="0.25">
      <c r="A16" s="3">
        <v>1</v>
      </c>
      <c r="B16" s="4" t="s">
        <v>336</v>
      </c>
      <c r="C16" s="3"/>
      <c r="D16" s="3"/>
      <c r="E16" s="3"/>
      <c r="F16" s="3"/>
      <c r="G16" s="3"/>
    </row>
    <row r="17" spans="1:7" x14ac:dyDescent="0.25">
      <c r="A17" s="3"/>
      <c r="B17" s="5" t="s">
        <v>134</v>
      </c>
      <c r="C17" s="3"/>
      <c r="D17" s="3"/>
      <c r="E17" s="3"/>
      <c r="F17" s="3"/>
      <c r="G17" s="3"/>
    </row>
    <row r="18" spans="1:7" x14ac:dyDescent="0.25">
      <c r="A18" s="3" t="s">
        <v>22</v>
      </c>
      <c r="B18" s="5" t="s">
        <v>135</v>
      </c>
      <c r="C18" s="3"/>
      <c r="D18" s="3"/>
      <c r="E18" s="3"/>
      <c r="F18" s="3"/>
      <c r="G18" s="3"/>
    </row>
    <row r="19" spans="1:7" x14ac:dyDescent="0.25">
      <c r="A19" s="3" t="s">
        <v>22</v>
      </c>
      <c r="B19" s="5" t="s">
        <v>136</v>
      </c>
      <c r="C19" s="3"/>
      <c r="D19" s="3"/>
      <c r="E19" s="3"/>
      <c r="F19" s="3"/>
      <c r="G19" s="3"/>
    </row>
    <row r="20" spans="1:7" x14ac:dyDescent="0.25">
      <c r="A20" s="3" t="s">
        <v>144</v>
      </c>
      <c r="B20" s="5" t="s">
        <v>351</v>
      </c>
      <c r="C20" s="3"/>
      <c r="D20" s="3"/>
      <c r="E20" s="3"/>
      <c r="F20" s="3"/>
      <c r="G20" s="3"/>
    </row>
    <row r="21" spans="1:7" x14ac:dyDescent="0.25">
      <c r="A21" s="3" t="s">
        <v>146</v>
      </c>
      <c r="B21" s="5" t="s">
        <v>337</v>
      </c>
      <c r="C21" s="3"/>
      <c r="D21" s="3"/>
      <c r="E21" s="3"/>
      <c r="F21" s="3"/>
      <c r="G21" s="3"/>
    </row>
    <row r="22" spans="1:7" x14ac:dyDescent="0.25">
      <c r="A22" s="3" t="s">
        <v>338</v>
      </c>
      <c r="B22" s="5" t="s">
        <v>339</v>
      </c>
      <c r="C22" s="3"/>
      <c r="D22" s="3"/>
      <c r="E22" s="3"/>
      <c r="F22" s="3"/>
      <c r="G22" s="3"/>
    </row>
    <row r="23" spans="1:7" x14ac:dyDescent="0.25">
      <c r="A23" s="3" t="s">
        <v>22</v>
      </c>
      <c r="B23" s="5" t="s">
        <v>340</v>
      </c>
      <c r="C23" s="3"/>
      <c r="D23" s="3"/>
      <c r="E23" s="3"/>
      <c r="F23" s="3"/>
      <c r="G23" s="3"/>
    </row>
    <row r="24" spans="1:7" x14ac:dyDescent="0.25">
      <c r="A24" s="2">
        <v>2</v>
      </c>
      <c r="B24" s="14" t="s">
        <v>341</v>
      </c>
      <c r="C24" s="3"/>
      <c r="D24" s="3"/>
      <c r="E24" s="3"/>
      <c r="F24" s="3"/>
      <c r="G24" s="3"/>
    </row>
    <row r="25" spans="1:7" x14ac:dyDescent="0.25">
      <c r="A25" s="3"/>
      <c r="B25" s="5" t="s">
        <v>134</v>
      </c>
      <c r="C25" s="3"/>
      <c r="D25" s="3"/>
      <c r="E25" s="3"/>
      <c r="F25" s="3"/>
      <c r="G25" s="3"/>
    </row>
    <row r="26" spans="1:7" x14ac:dyDescent="0.25">
      <c r="A26" s="3" t="s">
        <v>22</v>
      </c>
      <c r="B26" s="5" t="s">
        <v>135</v>
      </c>
      <c r="C26" s="3"/>
      <c r="D26" s="3"/>
      <c r="E26" s="3"/>
      <c r="F26" s="3"/>
      <c r="G26" s="3"/>
    </row>
    <row r="27" spans="1:7" x14ac:dyDescent="0.25">
      <c r="A27" s="3" t="s">
        <v>22</v>
      </c>
      <c r="B27" s="5" t="s">
        <v>136</v>
      </c>
      <c r="C27" s="3"/>
      <c r="D27" s="3"/>
      <c r="E27" s="3"/>
      <c r="F27" s="3"/>
      <c r="G27" s="3"/>
    </row>
    <row r="28" spans="1:7" x14ac:dyDescent="0.25">
      <c r="A28" s="22"/>
      <c r="B28" s="5" t="s">
        <v>134</v>
      </c>
      <c r="C28" s="3"/>
      <c r="D28" s="3"/>
      <c r="E28" s="3"/>
      <c r="F28" s="3"/>
      <c r="G28" s="3"/>
    </row>
    <row r="29" spans="1:7" x14ac:dyDescent="0.25">
      <c r="A29" s="3" t="s">
        <v>144</v>
      </c>
      <c r="B29" s="5" t="s">
        <v>352</v>
      </c>
      <c r="C29" s="3"/>
      <c r="D29" s="3"/>
      <c r="E29" s="3"/>
      <c r="F29" s="3"/>
      <c r="G29" s="3"/>
    </row>
    <row r="30" spans="1:7" x14ac:dyDescent="0.25">
      <c r="A30" s="3" t="s">
        <v>146</v>
      </c>
      <c r="B30" s="5" t="s">
        <v>342</v>
      </c>
      <c r="C30" s="3"/>
      <c r="D30" s="3"/>
      <c r="E30" s="3"/>
      <c r="F30" s="3"/>
      <c r="G30" s="3"/>
    </row>
    <row r="31" spans="1:7" x14ac:dyDescent="0.25">
      <c r="A31" s="3" t="s">
        <v>338</v>
      </c>
      <c r="B31" s="5" t="s">
        <v>343</v>
      </c>
      <c r="C31" s="3"/>
      <c r="D31" s="3"/>
      <c r="E31" s="3"/>
      <c r="F31" s="3"/>
      <c r="G31" s="3"/>
    </row>
    <row r="32" spans="1:7" ht="28.5" x14ac:dyDescent="0.25">
      <c r="A32" s="2" t="s">
        <v>70</v>
      </c>
      <c r="B32" s="14" t="s">
        <v>142</v>
      </c>
      <c r="C32" s="3"/>
      <c r="D32" s="3"/>
      <c r="E32" s="3"/>
      <c r="F32" s="3"/>
      <c r="G32" s="3"/>
    </row>
    <row r="33" spans="1:7" x14ac:dyDescent="0.25">
      <c r="A33" s="3"/>
      <c r="B33" s="5" t="s">
        <v>134</v>
      </c>
      <c r="C33" s="3"/>
      <c r="D33" s="3"/>
      <c r="E33" s="3"/>
      <c r="F33" s="3"/>
      <c r="G33" s="3"/>
    </row>
    <row r="34" spans="1:7" x14ac:dyDescent="0.25">
      <c r="A34" s="3"/>
      <c r="B34" s="5" t="s">
        <v>344</v>
      </c>
      <c r="C34" s="3"/>
      <c r="D34" s="3"/>
      <c r="E34" s="3"/>
      <c r="F34" s="3"/>
      <c r="G34" s="3"/>
    </row>
    <row r="35" spans="1:7" x14ac:dyDescent="0.25">
      <c r="A35" s="3"/>
      <c r="B35" s="5" t="s">
        <v>345</v>
      </c>
      <c r="C35" s="3"/>
      <c r="D35" s="3"/>
      <c r="E35" s="3"/>
      <c r="F35" s="3"/>
      <c r="G35" s="3"/>
    </row>
    <row r="36" spans="1:7" x14ac:dyDescent="0.25">
      <c r="A36" s="3">
        <v>1</v>
      </c>
      <c r="B36" s="4" t="s">
        <v>143</v>
      </c>
      <c r="C36" s="3"/>
      <c r="D36" s="3"/>
      <c r="E36" s="3"/>
      <c r="F36" s="3"/>
      <c r="G36" s="3"/>
    </row>
    <row r="37" spans="1:7" x14ac:dyDescent="0.25">
      <c r="A37" s="3"/>
      <c r="B37" s="5" t="s">
        <v>134</v>
      </c>
      <c r="C37" s="3"/>
      <c r="D37" s="3"/>
      <c r="E37" s="3"/>
      <c r="F37" s="3"/>
      <c r="G37" s="3"/>
    </row>
    <row r="38" spans="1:7" x14ac:dyDescent="0.25">
      <c r="A38" s="3"/>
      <c r="B38" s="5" t="s">
        <v>344</v>
      </c>
      <c r="C38" s="3"/>
      <c r="D38" s="3"/>
      <c r="E38" s="3"/>
      <c r="F38" s="3"/>
      <c r="G38" s="3"/>
    </row>
    <row r="39" spans="1:7" x14ac:dyDescent="0.25">
      <c r="A39" s="3"/>
      <c r="B39" s="5" t="s">
        <v>345</v>
      </c>
      <c r="C39" s="3"/>
      <c r="D39" s="3"/>
      <c r="E39" s="3"/>
      <c r="F39" s="3"/>
      <c r="G39" s="3"/>
    </row>
    <row r="40" spans="1:7" x14ac:dyDescent="0.25">
      <c r="A40" s="3" t="s">
        <v>144</v>
      </c>
      <c r="B40" s="4" t="s">
        <v>346</v>
      </c>
      <c r="C40" s="3"/>
      <c r="D40" s="3"/>
      <c r="E40" s="3"/>
      <c r="F40" s="3"/>
      <c r="G40" s="3"/>
    </row>
    <row r="41" spans="1:7" x14ac:dyDescent="0.25">
      <c r="A41" s="3"/>
      <c r="B41" s="5" t="s">
        <v>134</v>
      </c>
      <c r="C41" s="3"/>
      <c r="D41" s="3"/>
      <c r="E41" s="3"/>
      <c r="F41" s="3"/>
      <c r="G41" s="3"/>
    </row>
    <row r="42" spans="1:7" x14ac:dyDescent="0.25">
      <c r="A42" s="3"/>
      <c r="B42" s="5" t="s">
        <v>344</v>
      </c>
      <c r="C42" s="3"/>
      <c r="D42" s="3"/>
      <c r="E42" s="3"/>
      <c r="F42" s="3"/>
      <c r="G42" s="3"/>
    </row>
    <row r="43" spans="1:7" x14ac:dyDescent="0.25">
      <c r="A43" s="3"/>
      <c r="B43" s="5" t="s">
        <v>345</v>
      </c>
      <c r="C43" s="3"/>
      <c r="D43" s="3"/>
      <c r="E43" s="3"/>
      <c r="F43" s="3"/>
      <c r="G43" s="3"/>
    </row>
    <row r="44" spans="1:7" x14ac:dyDescent="0.25">
      <c r="A44" s="3" t="s">
        <v>146</v>
      </c>
      <c r="B44" s="4" t="s">
        <v>145</v>
      </c>
      <c r="C44" s="3"/>
      <c r="D44" s="3"/>
      <c r="E44" s="3"/>
      <c r="F44" s="3"/>
      <c r="G44" s="3"/>
    </row>
    <row r="45" spans="1:7" x14ac:dyDescent="0.25">
      <c r="A45" s="3"/>
      <c r="B45" s="5" t="s">
        <v>148</v>
      </c>
      <c r="C45" s="3"/>
      <c r="D45" s="3"/>
      <c r="E45" s="3"/>
      <c r="F45" s="3"/>
      <c r="G45" s="3"/>
    </row>
    <row r="46" spans="1:7" x14ac:dyDescent="0.25">
      <c r="A46" s="3" t="s">
        <v>150</v>
      </c>
      <c r="B46" s="4" t="s">
        <v>150</v>
      </c>
      <c r="C46" s="3"/>
      <c r="D46" s="3"/>
      <c r="E46" s="3"/>
      <c r="F46" s="3"/>
      <c r="G46" s="3"/>
    </row>
    <row r="47" spans="1:7" x14ac:dyDescent="0.25">
      <c r="A47" s="2">
        <v>2</v>
      </c>
      <c r="B47" s="14" t="s">
        <v>347</v>
      </c>
      <c r="C47" s="3"/>
      <c r="D47" s="3"/>
      <c r="E47" s="3"/>
      <c r="F47" s="3"/>
      <c r="G47" s="3"/>
    </row>
    <row r="48" spans="1:7" x14ac:dyDescent="0.25">
      <c r="A48" s="3"/>
      <c r="B48" s="5" t="s">
        <v>134</v>
      </c>
      <c r="C48" s="3"/>
      <c r="D48" s="3"/>
      <c r="E48" s="3"/>
      <c r="F48" s="3"/>
      <c r="G48" s="3"/>
    </row>
    <row r="49" spans="1:7" x14ac:dyDescent="0.25">
      <c r="A49" s="3"/>
      <c r="B49" s="5" t="s">
        <v>344</v>
      </c>
      <c r="C49" s="3"/>
      <c r="D49" s="3"/>
      <c r="E49" s="3"/>
      <c r="F49" s="3"/>
      <c r="G49" s="3"/>
    </row>
    <row r="50" spans="1:7" x14ac:dyDescent="0.25">
      <c r="A50" s="3"/>
      <c r="B50" s="5" t="s">
        <v>345</v>
      </c>
      <c r="C50" s="3"/>
      <c r="D50" s="3"/>
      <c r="E50" s="3"/>
      <c r="F50" s="3"/>
      <c r="G50" s="3"/>
    </row>
    <row r="51" spans="1:7" x14ac:dyDescent="0.25">
      <c r="A51" s="3" t="s">
        <v>144</v>
      </c>
      <c r="B51" s="4" t="s">
        <v>153</v>
      </c>
      <c r="C51" s="3"/>
      <c r="D51" s="3"/>
      <c r="E51" s="3"/>
      <c r="F51" s="3"/>
      <c r="G51" s="3"/>
    </row>
    <row r="52" spans="1:7" x14ac:dyDescent="0.25">
      <c r="A52" s="3"/>
      <c r="B52" s="5" t="s">
        <v>134</v>
      </c>
      <c r="C52" s="3"/>
      <c r="D52" s="3"/>
      <c r="E52" s="3"/>
      <c r="F52" s="3"/>
      <c r="G52" s="3"/>
    </row>
    <row r="53" spans="1:7" x14ac:dyDescent="0.25">
      <c r="A53" s="3"/>
      <c r="B53" s="5" t="s">
        <v>344</v>
      </c>
      <c r="C53" s="3"/>
      <c r="D53" s="3"/>
      <c r="E53" s="3"/>
      <c r="F53" s="3"/>
      <c r="G53" s="3"/>
    </row>
    <row r="54" spans="1:7" x14ac:dyDescent="0.25">
      <c r="A54" s="3"/>
      <c r="B54" s="5" t="s">
        <v>345</v>
      </c>
      <c r="C54" s="3"/>
      <c r="D54" s="3"/>
      <c r="E54" s="3"/>
      <c r="F54" s="3"/>
      <c r="G54" s="3"/>
    </row>
    <row r="55" spans="1:7" x14ac:dyDescent="0.25">
      <c r="A55" s="3" t="s">
        <v>146</v>
      </c>
      <c r="B55" s="4" t="s">
        <v>153</v>
      </c>
      <c r="C55" s="3"/>
      <c r="D55" s="3"/>
      <c r="E55" s="3"/>
      <c r="F55" s="3"/>
      <c r="G55" s="3"/>
    </row>
    <row r="56" spans="1:7" x14ac:dyDescent="0.25">
      <c r="A56" s="3"/>
      <c r="B56" s="5" t="s">
        <v>202</v>
      </c>
      <c r="C56" s="3"/>
      <c r="D56" s="3"/>
      <c r="E56" s="3"/>
      <c r="F56" s="3"/>
      <c r="G56" s="3"/>
    </row>
    <row r="57" spans="1:7" x14ac:dyDescent="0.25">
      <c r="A57" s="3" t="s">
        <v>150</v>
      </c>
      <c r="B57" s="4" t="s">
        <v>150</v>
      </c>
      <c r="C57" s="3"/>
      <c r="D57" s="3"/>
      <c r="E57" s="3"/>
      <c r="F57" s="3"/>
      <c r="G57" s="3"/>
    </row>
    <row r="58" spans="1:7" x14ac:dyDescent="0.25">
      <c r="A58" s="2" t="s">
        <v>16</v>
      </c>
      <c r="B58" s="14" t="s">
        <v>155</v>
      </c>
      <c r="C58" s="3"/>
      <c r="D58" s="3"/>
      <c r="E58" s="3"/>
      <c r="F58" s="3"/>
      <c r="G58" s="3"/>
    </row>
    <row r="59" spans="1:7" x14ac:dyDescent="0.25">
      <c r="A59" s="3" t="s">
        <v>22</v>
      </c>
      <c r="B59" s="5" t="s">
        <v>156</v>
      </c>
      <c r="C59" s="3"/>
      <c r="D59" s="3"/>
      <c r="E59" s="3"/>
      <c r="F59" s="3"/>
      <c r="G59" s="3"/>
    </row>
    <row r="60" spans="1:7" x14ac:dyDescent="0.25">
      <c r="A60" s="3" t="s">
        <v>22</v>
      </c>
      <c r="B60" s="5" t="s">
        <v>348</v>
      </c>
      <c r="C60" s="3"/>
      <c r="D60" s="3"/>
      <c r="E60" s="3"/>
      <c r="F60" s="3"/>
      <c r="G60" s="3"/>
    </row>
    <row r="61" spans="1:7" x14ac:dyDescent="0.25">
      <c r="A61" s="15" t="s">
        <v>118</v>
      </c>
    </row>
    <row r="62" spans="1:7" x14ac:dyDescent="0.25">
      <c r="A62" s="425" t="s">
        <v>353</v>
      </c>
      <c r="B62" s="425"/>
      <c r="C62" s="425"/>
      <c r="D62" s="425"/>
      <c r="E62" s="425"/>
      <c r="F62" s="425"/>
      <c r="G62" s="425"/>
    </row>
    <row r="63" spans="1:7" x14ac:dyDescent="0.25">
      <c r="A63" s="425" t="s">
        <v>349</v>
      </c>
      <c r="B63" s="425"/>
      <c r="C63" s="425"/>
      <c r="D63" s="425"/>
      <c r="E63" s="425"/>
      <c r="F63" s="425"/>
      <c r="G63" s="425"/>
    </row>
    <row r="64" spans="1:7" x14ac:dyDescent="0.25">
      <c r="A64" s="425" t="s">
        <v>350</v>
      </c>
      <c r="B64" s="425"/>
      <c r="C64" s="425"/>
      <c r="D64" s="425"/>
      <c r="E64" s="425"/>
      <c r="F64" s="425"/>
      <c r="G64" s="425"/>
    </row>
  </sheetData>
  <mergeCells count="11">
    <mergeCell ref="A1:G1"/>
    <mergeCell ref="A2:G2"/>
    <mergeCell ref="A3:G3"/>
    <mergeCell ref="F4:G4"/>
    <mergeCell ref="A62:G62"/>
    <mergeCell ref="A63:G63"/>
    <mergeCell ref="A64:G64"/>
    <mergeCell ref="A5:A6"/>
    <mergeCell ref="B5:B6"/>
    <mergeCell ref="C5:D5"/>
    <mergeCell ref="E5:G5"/>
  </mergeCells>
  <pageMargins left="0.70866141732283472" right="0.35433070866141736" top="0.3" bottom="0.35433070866141736" header="0.15748031496062992" footer="0.15748031496062992"/>
  <pageSetup paperSize="9" scale="79"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A1:H36"/>
  <sheetViews>
    <sheetView workbookViewId="0">
      <selection activeCell="D31" sqref="D31"/>
    </sheetView>
  </sheetViews>
  <sheetFormatPr defaultColWidth="9.140625" defaultRowHeight="15" x14ac:dyDescent="0.25"/>
  <cols>
    <col min="1" max="1" width="6" style="7" customWidth="1"/>
    <col min="2" max="2" width="49.85546875" style="7" customWidth="1"/>
    <col min="3" max="3" width="12.42578125" style="7" customWidth="1"/>
    <col min="4" max="4" width="12.5703125" style="7" customWidth="1"/>
    <col min="5" max="6" width="12" style="7" customWidth="1"/>
    <col min="7" max="16384" width="9.140625" style="7"/>
  </cols>
  <sheetData>
    <row r="1" spans="1:8" x14ac:dyDescent="0.25">
      <c r="A1" s="422" t="s">
        <v>419</v>
      </c>
      <c r="B1" s="422"/>
      <c r="C1" s="422"/>
      <c r="D1" s="422"/>
      <c r="E1" s="422"/>
      <c r="F1" s="422"/>
    </row>
    <row r="2" spans="1:8" ht="18.75" x14ac:dyDescent="0.25">
      <c r="A2" s="417" t="s">
        <v>1243</v>
      </c>
      <c r="B2" s="417"/>
      <c r="C2" s="417"/>
      <c r="D2" s="417"/>
      <c r="E2" s="417"/>
      <c r="F2" s="417"/>
    </row>
    <row r="3" spans="1:8" ht="15" customHeight="1" x14ac:dyDescent="0.25">
      <c r="A3" s="438" t="s">
        <v>1241</v>
      </c>
      <c r="B3" s="438"/>
      <c r="C3" s="438"/>
      <c r="D3" s="438"/>
      <c r="E3" s="438"/>
      <c r="F3" s="438"/>
      <c r="G3" s="139"/>
      <c r="H3" s="139"/>
    </row>
    <row r="4" spans="1:8" x14ac:dyDescent="0.25">
      <c r="E4" s="424" t="s">
        <v>56</v>
      </c>
      <c r="F4" s="424"/>
    </row>
    <row r="5" spans="1:8" x14ac:dyDescent="0.25">
      <c r="A5" s="430" t="s">
        <v>3</v>
      </c>
      <c r="B5" s="430" t="s">
        <v>4</v>
      </c>
      <c r="C5" s="430" t="s">
        <v>935</v>
      </c>
      <c r="D5" s="430" t="s">
        <v>1242</v>
      </c>
      <c r="E5" s="430" t="s">
        <v>229</v>
      </c>
      <c r="F5" s="430"/>
    </row>
    <row r="6" spans="1:8" ht="28.5" x14ac:dyDescent="0.25">
      <c r="A6" s="430"/>
      <c r="B6" s="430"/>
      <c r="C6" s="430"/>
      <c r="D6" s="430"/>
      <c r="E6" s="8" t="s">
        <v>233</v>
      </c>
      <c r="F6" s="8" t="s">
        <v>389</v>
      </c>
    </row>
    <row r="7" spans="1:8" x14ac:dyDescent="0.25">
      <c r="A7" s="8" t="s">
        <v>15</v>
      </c>
      <c r="B7" s="8" t="s">
        <v>16</v>
      </c>
      <c r="C7" s="8">
        <v>1</v>
      </c>
      <c r="D7" s="8">
        <v>2</v>
      </c>
      <c r="E7" s="8" t="s">
        <v>358</v>
      </c>
      <c r="F7" s="8" t="s">
        <v>359</v>
      </c>
    </row>
    <row r="8" spans="1:8" x14ac:dyDescent="0.25">
      <c r="A8" s="8"/>
      <c r="B8" s="9" t="s">
        <v>90</v>
      </c>
      <c r="C8" s="68" t="e">
        <f>C9+C28+C33</f>
        <v>#REF!</v>
      </c>
      <c r="D8" s="68" t="e">
        <f t="shared" ref="D8:E8" si="0">D9+D28+D33</f>
        <v>#REF!</v>
      </c>
      <c r="E8" s="68" t="e">
        <f t="shared" si="0"/>
        <v>#REF!</v>
      </c>
      <c r="F8" s="69" t="e">
        <f t="shared" ref="F8:F9" si="1">D8/C8*100</f>
        <v>#REF!</v>
      </c>
    </row>
    <row r="9" spans="1:8" x14ac:dyDescent="0.25">
      <c r="A9" s="8" t="s">
        <v>15</v>
      </c>
      <c r="B9" s="9" t="s">
        <v>390</v>
      </c>
      <c r="C9" s="68" t="e">
        <f>C10+C20+C24+C25+C26+C27</f>
        <v>#REF!</v>
      </c>
      <c r="D9" s="68" t="e">
        <f t="shared" ref="D9:E9" si="2">D10+D20+D24+D25+D26+D27</f>
        <v>#REF!</v>
      </c>
      <c r="E9" s="68" t="e">
        <f t="shared" si="2"/>
        <v>#REF!</v>
      </c>
      <c r="F9" s="69" t="e">
        <f t="shared" si="1"/>
        <v>#REF!</v>
      </c>
    </row>
    <row r="10" spans="1:8" x14ac:dyDescent="0.25">
      <c r="A10" s="8" t="s">
        <v>83</v>
      </c>
      <c r="B10" s="9" t="s">
        <v>93</v>
      </c>
      <c r="C10" s="68">
        <f>C11+C18+C19</f>
        <v>51186</v>
      </c>
      <c r="D10" s="68">
        <f t="shared" ref="D10:E10" si="3">D11+D18+D19</f>
        <v>117160</v>
      </c>
      <c r="E10" s="68">
        <f t="shared" si="3"/>
        <v>65974</v>
      </c>
      <c r="F10" s="69">
        <f>D10/C10*100</f>
        <v>228.89071230414567</v>
      </c>
    </row>
    <row r="11" spans="1:8" x14ac:dyDescent="0.25">
      <c r="A11" s="10">
        <v>1</v>
      </c>
      <c r="B11" s="12" t="s">
        <v>391</v>
      </c>
      <c r="C11" s="70">
        <v>51186</v>
      </c>
      <c r="D11" s="70">
        <v>117160</v>
      </c>
      <c r="E11" s="70">
        <f>D11-C11</f>
        <v>65974</v>
      </c>
      <c r="F11" s="71">
        <f t="shared" ref="F11" si="4">D11/C11*100</f>
        <v>228.89071230414567</v>
      </c>
    </row>
    <row r="12" spans="1:8" x14ac:dyDescent="0.25">
      <c r="A12" s="10"/>
      <c r="B12" s="11" t="s">
        <v>420</v>
      </c>
      <c r="C12" s="72"/>
      <c r="D12" s="72"/>
      <c r="E12" s="72"/>
      <c r="F12" s="73"/>
    </row>
    <row r="13" spans="1:8" x14ac:dyDescent="0.25">
      <c r="A13" s="10" t="s">
        <v>22</v>
      </c>
      <c r="B13" s="11" t="s">
        <v>393</v>
      </c>
      <c r="C13" s="72"/>
      <c r="D13" s="99"/>
      <c r="E13" s="72"/>
      <c r="F13" s="73"/>
    </row>
    <row r="14" spans="1:8" x14ac:dyDescent="0.25">
      <c r="A14" s="10" t="s">
        <v>22</v>
      </c>
      <c r="B14" s="11" t="s">
        <v>394</v>
      </c>
      <c r="C14" s="72"/>
      <c r="D14" s="72"/>
      <c r="E14" s="72"/>
      <c r="F14" s="73"/>
    </row>
    <row r="15" spans="1:8" x14ac:dyDescent="0.25">
      <c r="A15" s="10"/>
      <c r="B15" s="11" t="s">
        <v>395</v>
      </c>
      <c r="C15" s="72"/>
      <c r="D15" s="72"/>
      <c r="E15" s="72"/>
      <c r="F15" s="73"/>
    </row>
    <row r="16" spans="1:8" x14ac:dyDescent="0.25">
      <c r="A16" s="10" t="s">
        <v>22</v>
      </c>
      <c r="B16" s="11" t="s">
        <v>424</v>
      </c>
      <c r="C16" s="72"/>
      <c r="D16" s="72"/>
      <c r="E16" s="72"/>
      <c r="F16" s="73"/>
    </row>
    <row r="17" spans="1:6" x14ac:dyDescent="0.25">
      <c r="A17" s="10" t="s">
        <v>22</v>
      </c>
      <c r="B17" s="11" t="s">
        <v>397</v>
      </c>
      <c r="C17" s="72"/>
      <c r="D17" s="72"/>
      <c r="E17" s="72"/>
      <c r="F17" s="73"/>
    </row>
    <row r="18" spans="1:6" ht="60" x14ac:dyDescent="0.25">
      <c r="A18" s="10">
        <v>2</v>
      </c>
      <c r="B18" s="12" t="s">
        <v>398</v>
      </c>
      <c r="C18" s="70"/>
      <c r="D18" s="70"/>
      <c r="E18" s="70">
        <f t="shared" ref="E18" si="5">D18-C18</f>
        <v>0</v>
      </c>
      <c r="F18" s="71"/>
    </row>
    <row r="19" spans="1:6" x14ac:dyDescent="0.25">
      <c r="A19" s="10">
        <v>3</v>
      </c>
      <c r="B19" s="12" t="s">
        <v>399</v>
      </c>
      <c r="C19" s="70"/>
      <c r="D19" s="70"/>
      <c r="E19" s="70"/>
      <c r="F19" s="71"/>
    </row>
    <row r="20" spans="1:6" x14ac:dyDescent="0.25">
      <c r="A20" s="8" t="s">
        <v>70</v>
      </c>
      <c r="B20" s="9" t="s">
        <v>96</v>
      </c>
      <c r="C20" s="68" t="e">
        <f>#REF!</f>
        <v>#REF!</v>
      </c>
      <c r="D20" s="68" t="e">
        <f>#REF!</f>
        <v>#REF!</v>
      </c>
      <c r="E20" s="68" t="e">
        <f t="shared" ref="E20:E26" si="6">D20-C20</f>
        <v>#REF!</v>
      </c>
      <c r="F20" s="69" t="e">
        <f>D20/C20*100</f>
        <v>#REF!</v>
      </c>
    </row>
    <row r="21" spans="1:6" x14ac:dyDescent="0.25">
      <c r="A21" s="10"/>
      <c r="B21" s="11" t="s">
        <v>134</v>
      </c>
      <c r="C21" s="70"/>
      <c r="D21" s="70"/>
      <c r="E21" s="70">
        <f t="shared" si="6"/>
        <v>0</v>
      </c>
      <c r="F21" s="71"/>
    </row>
    <row r="22" spans="1:6" x14ac:dyDescent="0.25">
      <c r="A22" s="10">
        <v>1</v>
      </c>
      <c r="B22" s="11" t="s">
        <v>393</v>
      </c>
      <c r="C22" s="72" t="e">
        <f>#REF!</f>
        <v>#REF!</v>
      </c>
      <c r="D22" s="72" t="e">
        <f>#REF!</f>
        <v>#REF!</v>
      </c>
      <c r="E22" s="72" t="e">
        <f t="shared" si="6"/>
        <v>#REF!</v>
      </c>
      <c r="F22" s="73" t="e">
        <f t="shared" ref="F22:F31" si="7">D22/C22*100</f>
        <v>#REF!</v>
      </c>
    </row>
    <row r="23" spans="1:6" x14ac:dyDescent="0.25">
      <c r="A23" s="10">
        <v>2</v>
      </c>
      <c r="B23" s="11" t="s">
        <v>421</v>
      </c>
      <c r="C23" s="72">
        <v>486</v>
      </c>
      <c r="D23" s="72">
        <v>486</v>
      </c>
      <c r="E23" s="72">
        <f t="shared" si="6"/>
        <v>0</v>
      </c>
      <c r="F23" s="73">
        <f t="shared" si="7"/>
        <v>100</v>
      </c>
    </row>
    <row r="24" spans="1:6" ht="28.5" x14ac:dyDescent="0.25">
      <c r="A24" s="8" t="s">
        <v>73</v>
      </c>
      <c r="B24" s="9" t="s">
        <v>407</v>
      </c>
      <c r="C24" s="70"/>
      <c r="D24" s="70"/>
      <c r="E24" s="70">
        <f t="shared" si="6"/>
        <v>0</v>
      </c>
      <c r="F24" s="71"/>
    </row>
    <row r="25" spans="1:6" s="157" customFormat="1" ht="14.25" x14ac:dyDescent="0.25">
      <c r="A25" s="8" t="s">
        <v>77</v>
      </c>
      <c r="B25" s="9" t="s">
        <v>1148</v>
      </c>
      <c r="C25" s="68" t="e">
        <f>#REF!</f>
        <v>#REF!</v>
      </c>
      <c r="D25" s="68" t="e">
        <f>#REF!</f>
        <v>#REF!</v>
      </c>
      <c r="E25" s="68" t="e">
        <f t="shared" si="6"/>
        <v>#REF!</v>
      </c>
      <c r="F25" s="69"/>
    </row>
    <row r="26" spans="1:6" x14ac:dyDescent="0.25">
      <c r="A26" s="8" t="s">
        <v>113</v>
      </c>
      <c r="B26" s="9" t="s">
        <v>247</v>
      </c>
      <c r="C26" s="68" t="e">
        <f>#REF!</f>
        <v>#REF!</v>
      </c>
      <c r="D26" s="68" t="e">
        <f>#REF!</f>
        <v>#REF!</v>
      </c>
      <c r="E26" s="68" t="e">
        <f t="shared" si="6"/>
        <v>#REF!</v>
      </c>
      <c r="F26" s="69" t="e">
        <f t="shared" si="7"/>
        <v>#REF!</v>
      </c>
    </row>
    <row r="27" spans="1:6" x14ac:dyDescent="0.25">
      <c r="A27" s="8" t="s">
        <v>400</v>
      </c>
      <c r="B27" s="9" t="s">
        <v>98</v>
      </c>
      <c r="C27" s="68" t="e">
        <f>#REF!</f>
        <v>#REF!</v>
      </c>
      <c r="D27" s="68" t="e">
        <f>#REF!</f>
        <v>#REF!</v>
      </c>
      <c r="E27" s="68" t="e">
        <f>D27-C27</f>
        <v>#REF!</v>
      </c>
      <c r="F27" s="69" t="e">
        <f t="shared" si="7"/>
        <v>#REF!</v>
      </c>
    </row>
    <row r="28" spans="1:6" x14ac:dyDescent="0.25">
      <c r="A28" s="8" t="s">
        <v>16</v>
      </c>
      <c r="B28" s="9" t="s">
        <v>401</v>
      </c>
      <c r="C28" s="68" t="e">
        <f>C29+C31</f>
        <v>#REF!</v>
      </c>
      <c r="D28" s="68" t="e">
        <f t="shared" ref="D28:E28" si="8">D29+D31</f>
        <v>#REF!</v>
      </c>
      <c r="E28" s="68" t="e">
        <f t="shared" si="8"/>
        <v>#REF!</v>
      </c>
      <c r="F28" s="69" t="e">
        <f t="shared" si="7"/>
        <v>#REF!</v>
      </c>
    </row>
    <row r="29" spans="1:6" x14ac:dyDescent="0.25">
      <c r="A29" s="8" t="s">
        <v>83</v>
      </c>
      <c r="B29" s="9" t="s">
        <v>249</v>
      </c>
      <c r="C29" s="68" t="e">
        <f>#REF!</f>
        <v>#REF!</v>
      </c>
      <c r="D29" s="68" t="e">
        <f>#REF!</f>
        <v>#REF!</v>
      </c>
      <c r="E29" s="68" t="e">
        <f>D29-C29</f>
        <v>#REF!</v>
      </c>
      <c r="F29" s="69" t="e">
        <f t="shared" si="7"/>
        <v>#REF!</v>
      </c>
    </row>
    <row r="30" spans="1:6" x14ac:dyDescent="0.25">
      <c r="A30" s="10"/>
      <c r="B30" s="12" t="s">
        <v>402</v>
      </c>
      <c r="C30" s="70"/>
      <c r="D30" s="70"/>
      <c r="E30" s="70"/>
      <c r="F30" s="69"/>
    </row>
    <row r="31" spans="1:6" x14ac:dyDescent="0.25">
      <c r="A31" s="8" t="s">
        <v>70</v>
      </c>
      <c r="B31" s="9" t="s">
        <v>250</v>
      </c>
      <c r="C31" s="68" t="e">
        <f>#REF!</f>
        <v>#REF!</v>
      </c>
      <c r="D31" s="68" t="e">
        <f>#REF!</f>
        <v>#REF!</v>
      </c>
      <c r="E31" s="68" t="e">
        <f>D31-C31</f>
        <v>#REF!</v>
      </c>
      <c r="F31" s="69" t="e">
        <f t="shared" si="7"/>
        <v>#REF!</v>
      </c>
    </row>
    <row r="32" spans="1:6" x14ac:dyDescent="0.25">
      <c r="A32" s="10"/>
      <c r="B32" s="12" t="s">
        <v>403</v>
      </c>
      <c r="C32" s="10"/>
      <c r="D32" s="10"/>
      <c r="E32" s="10"/>
      <c r="F32" s="10"/>
    </row>
    <row r="33" spans="1:6" x14ac:dyDescent="0.25">
      <c r="A33" s="8" t="s">
        <v>79</v>
      </c>
      <c r="B33" s="9" t="s">
        <v>422</v>
      </c>
      <c r="C33" s="10"/>
      <c r="D33" s="10"/>
      <c r="E33" s="10"/>
      <c r="F33" s="10"/>
    </row>
    <row r="34" spans="1:6" x14ac:dyDescent="0.25">
      <c r="A34" s="23" t="s">
        <v>425</v>
      </c>
    </row>
    <row r="35" spans="1:6" s="24" customFormat="1" ht="53.25" customHeight="1" x14ac:dyDescent="0.25">
      <c r="A35" s="439" t="s">
        <v>426</v>
      </c>
      <c r="B35" s="439"/>
      <c r="C35" s="439"/>
      <c r="D35" s="439"/>
      <c r="E35" s="439"/>
      <c r="F35" s="439"/>
    </row>
    <row r="36" spans="1:6" s="24" customFormat="1" ht="36" customHeight="1" x14ac:dyDescent="0.25">
      <c r="A36" s="439" t="s">
        <v>423</v>
      </c>
      <c r="B36" s="439"/>
      <c r="C36" s="439"/>
      <c r="D36" s="439"/>
      <c r="E36" s="439"/>
      <c r="F36" s="439"/>
    </row>
  </sheetData>
  <mergeCells count="11">
    <mergeCell ref="A36:F36"/>
    <mergeCell ref="A5:A6"/>
    <mergeCell ref="B5:B6"/>
    <mergeCell ref="C5:C6"/>
    <mergeCell ref="D5:D6"/>
    <mergeCell ref="E5:F5"/>
    <mergeCell ref="A1:F1"/>
    <mergeCell ref="A2:F2"/>
    <mergeCell ref="A3:F3"/>
    <mergeCell ref="E4:F4"/>
    <mergeCell ref="A35:F35"/>
  </mergeCells>
  <printOptions horizontalCentered="1"/>
  <pageMargins left="0.11811023622047245" right="0.11811023622047245" top="0.15748031496062992" bottom="0.15748031496062992" header="0.31496062992125984" footer="0.31496062992125984"/>
  <pageSetup paperSize="9" scale="90" orientation="portrait" verticalDpi="0"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0000"/>
  </sheetPr>
  <dimension ref="A1:R95"/>
  <sheetViews>
    <sheetView tabSelected="1" zoomScale="130" zoomScaleNormal="130" workbookViewId="0">
      <selection activeCell="B12" sqref="B12"/>
    </sheetView>
  </sheetViews>
  <sheetFormatPr defaultColWidth="14.5703125" defaultRowHeight="16.5" x14ac:dyDescent="0.25"/>
  <cols>
    <col min="1" max="1" width="7.7109375" style="269" customWidth="1"/>
    <col min="2" max="2" width="88.28515625" style="266" customWidth="1"/>
    <col min="3" max="3" width="20.42578125" style="266" customWidth="1"/>
    <col min="4" max="16384" width="14.5703125" style="266"/>
  </cols>
  <sheetData>
    <row r="1" spans="1:18" x14ac:dyDescent="0.25">
      <c r="A1" s="452" t="s">
        <v>1245</v>
      </c>
      <c r="B1" s="452"/>
      <c r="C1" s="452"/>
    </row>
    <row r="2" spans="1:18" ht="20.25" customHeight="1" x14ac:dyDescent="0.3">
      <c r="A2" s="453" t="s">
        <v>1548</v>
      </c>
      <c r="B2" s="453"/>
      <c r="C2" s="453"/>
      <c r="D2" s="268"/>
      <c r="E2" s="268"/>
      <c r="F2" s="268"/>
    </row>
    <row r="3" spans="1:18" ht="18.75" x14ac:dyDescent="0.3">
      <c r="A3" s="453" t="s">
        <v>1556</v>
      </c>
      <c r="B3" s="453"/>
      <c r="C3" s="453"/>
      <c r="D3" s="268"/>
      <c r="E3" s="268"/>
      <c r="F3" s="268"/>
    </row>
    <row r="4" spans="1:18" s="268" customFormat="1" ht="18.75" x14ac:dyDescent="0.25">
      <c r="A4" s="463" t="s">
        <v>1561</v>
      </c>
      <c r="B4" s="463"/>
      <c r="C4" s="463"/>
      <c r="D4" s="158"/>
      <c r="E4" s="158"/>
      <c r="F4" s="158"/>
      <c r="G4" s="158"/>
      <c r="H4" s="158"/>
      <c r="I4" s="158"/>
      <c r="J4" s="158"/>
      <c r="K4" s="158"/>
      <c r="L4" s="158"/>
      <c r="M4" s="158"/>
      <c r="N4" s="158"/>
      <c r="O4" s="158"/>
      <c r="P4" s="158"/>
      <c r="Q4" s="158"/>
      <c r="R4" s="158"/>
    </row>
    <row r="5" spans="1:18" x14ac:dyDescent="0.25">
      <c r="B5" s="454" t="s">
        <v>1109</v>
      </c>
      <c r="C5" s="454"/>
    </row>
    <row r="6" spans="1:18" s="268" customFormat="1" ht="12.75" customHeight="1" x14ac:dyDescent="0.25">
      <c r="A6" s="455" t="s">
        <v>1110</v>
      </c>
      <c r="B6" s="458" t="s">
        <v>1111</v>
      </c>
      <c r="C6" s="455" t="s">
        <v>1514</v>
      </c>
    </row>
    <row r="7" spans="1:18" s="268" customFormat="1" x14ac:dyDescent="0.25">
      <c r="A7" s="456"/>
      <c r="B7" s="459"/>
      <c r="C7" s="461"/>
    </row>
    <row r="8" spans="1:18" s="268" customFormat="1" ht="3.75" customHeight="1" x14ac:dyDescent="0.25">
      <c r="A8" s="457"/>
      <c r="B8" s="460"/>
      <c r="C8" s="462"/>
      <c r="H8" s="267"/>
      <c r="I8" s="267"/>
      <c r="J8" s="267"/>
    </row>
    <row r="9" spans="1:18" x14ac:dyDescent="0.25">
      <c r="A9" s="276" t="s">
        <v>15</v>
      </c>
      <c r="B9" s="275" t="s">
        <v>1112</v>
      </c>
      <c r="C9" s="295">
        <f>C10+C16+C17+C18</f>
        <v>767561.79999999993</v>
      </c>
      <c r="D9" s="291">
        <f>C9-C18</f>
        <v>114010</v>
      </c>
      <c r="E9" s="271"/>
      <c r="F9" s="268"/>
      <c r="H9" s="270"/>
    </row>
    <row r="10" spans="1:18" x14ac:dyDescent="0.25">
      <c r="A10" s="276">
        <v>1</v>
      </c>
      <c r="B10" s="275" t="s">
        <v>1113</v>
      </c>
      <c r="C10" s="295">
        <f>SUM(C11:C15)</f>
        <v>108310</v>
      </c>
      <c r="D10" s="271"/>
      <c r="E10" s="268"/>
      <c r="H10" s="271"/>
      <c r="I10" s="271"/>
    </row>
    <row r="11" spans="1:18" x14ac:dyDescent="0.25">
      <c r="A11" s="277"/>
      <c r="B11" s="278" t="s">
        <v>1114</v>
      </c>
      <c r="C11" s="296">
        <f>'[1]DT THU NSNN MAU 32'!E11</f>
        <v>49900</v>
      </c>
      <c r="D11" s="270"/>
      <c r="H11" s="270"/>
    </row>
    <row r="12" spans="1:18" x14ac:dyDescent="0.25">
      <c r="A12" s="277"/>
      <c r="B12" s="278" t="s">
        <v>1115</v>
      </c>
      <c r="C12" s="296">
        <f>'[1]DT THU NSNN MAU 32'!F11</f>
        <v>25610</v>
      </c>
      <c r="D12" s="270"/>
      <c r="H12" s="270"/>
    </row>
    <row r="13" spans="1:18" x14ac:dyDescent="0.25">
      <c r="A13" s="277"/>
      <c r="B13" s="278" t="s">
        <v>1116</v>
      </c>
      <c r="C13" s="296">
        <f>'[1]DT THU NSNN MAU 32'!G11</f>
        <v>3500</v>
      </c>
      <c r="D13" s="271"/>
      <c r="H13" s="271"/>
    </row>
    <row r="14" spans="1:18" x14ac:dyDescent="0.25">
      <c r="A14" s="277"/>
      <c r="B14" s="278" t="s">
        <v>1117</v>
      </c>
      <c r="C14" s="296">
        <f>'[1]DT THU NSNN MAU 32'!H11+'[1]DT THU NSNN MAU 32'!I11</f>
        <v>24000</v>
      </c>
      <c r="D14" s="271"/>
      <c r="H14" s="271"/>
    </row>
    <row r="15" spans="1:18" x14ac:dyDescent="0.25">
      <c r="A15" s="277"/>
      <c r="B15" s="278" t="s">
        <v>1118</v>
      </c>
      <c r="C15" s="296">
        <f>'[1]DT THU NSNN MAU 32'!J11</f>
        <v>5300</v>
      </c>
      <c r="D15" s="271"/>
      <c r="H15" s="271"/>
    </row>
    <row r="16" spans="1:18" x14ac:dyDescent="0.25">
      <c r="A16" s="276">
        <v>2</v>
      </c>
      <c r="B16" s="275" t="s">
        <v>378</v>
      </c>
      <c r="C16" s="297">
        <f>'[1]DT THU NSNN MAU 32'!N11</f>
        <v>2700</v>
      </c>
      <c r="D16" s="271"/>
      <c r="H16" s="271"/>
    </row>
    <row r="17" spans="1:8" x14ac:dyDescent="0.25">
      <c r="A17" s="276">
        <v>3</v>
      </c>
      <c r="B17" s="275" t="s">
        <v>1119</v>
      </c>
      <c r="C17" s="297">
        <f>'[1]DT THU NSNN MAU 32'!M11</f>
        <v>3000</v>
      </c>
      <c r="D17" s="271"/>
      <c r="H17" s="271"/>
    </row>
    <row r="18" spans="1:8" x14ac:dyDescent="0.25">
      <c r="A18" s="276">
        <v>4</v>
      </c>
      <c r="B18" s="275" t="s">
        <v>1120</v>
      </c>
      <c r="C18" s="297">
        <f>SUM(C19:C21)</f>
        <v>653551.79999999993</v>
      </c>
      <c r="E18" s="271"/>
    </row>
    <row r="19" spans="1:8" x14ac:dyDescent="0.25">
      <c r="A19" s="279" t="s">
        <v>22</v>
      </c>
      <c r="B19" s="278" t="s">
        <v>1121</v>
      </c>
      <c r="C19" s="298">
        <f>'[1]DT THU, CHI NSDP VA BSCĐ 39'!M11</f>
        <v>515703.79999999993</v>
      </c>
      <c r="D19" s="271"/>
    </row>
    <row r="20" spans="1:8" x14ac:dyDescent="0.25">
      <c r="A20" s="277" t="s">
        <v>22</v>
      </c>
      <c r="B20" s="278" t="s">
        <v>1333</v>
      </c>
      <c r="C20" s="298">
        <f>'[1]DT THU, CHI NSDP VA BSCĐ 39'!O11</f>
        <v>67835</v>
      </c>
      <c r="D20" s="271"/>
    </row>
    <row r="21" spans="1:8" x14ac:dyDescent="0.25">
      <c r="A21" s="277" t="s">
        <v>22</v>
      </c>
      <c r="B21" s="278" t="s">
        <v>705</v>
      </c>
      <c r="C21" s="299">
        <f>'[1]DT THU, CHI NSDP VA BSCĐ 39'!N11</f>
        <v>70013</v>
      </c>
      <c r="E21" s="271"/>
      <c r="G21" s="271"/>
    </row>
    <row r="22" spans="1:8" x14ac:dyDescent="0.25">
      <c r="A22" s="276" t="s">
        <v>16</v>
      </c>
      <c r="B22" s="275" t="s">
        <v>1122</v>
      </c>
      <c r="C22" s="295">
        <f>C23</f>
        <v>764161.79999999993</v>
      </c>
      <c r="D22" s="271"/>
      <c r="E22" s="271"/>
      <c r="G22" s="271"/>
    </row>
    <row r="23" spans="1:8" x14ac:dyDescent="0.25">
      <c r="A23" s="277"/>
      <c r="B23" s="275" t="s">
        <v>1123</v>
      </c>
      <c r="C23" s="295">
        <f>SUM(C24:C25)</f>
        <v>764161.79999999993</v>
      </c>
      <c r="E23" s="271"/>
    </row>
    <row r="24" spans="1:8" x14ac:dyDescent="0.25">
      <c r="A24" s="277"/>
      <c r="B24" s="278" t="s">
        <v>1124</v>
      </c>
      <c r="C24" s="296">
        <f>'[1]DT THU, CHI NSDP VA BSCĐ 39'!C11</f>
        <v>110610</v>
      </c>
      <c r="D24" s="271"/>
      <c r="E24" s="271"/>
    </row>
    <row r="25" spans="1:8" x14ac:dyDescent="0.25">
      <c r="A25" s="277"/>
      <c r="B25" s="278" t="s">
        <v>1125</v>
      </c>
      <c r="C25" s="296">
        <f>C18</f>
        <v>653551.79999999993</v>
      </c>
      <c r="D25" s="271"/>
      <c r="E25" s="271"/>
      <c r="F25" s="271"/>
      <c r="G25" s="271"/>
    </row>
    <row r="26" spans="1:8" x14ac:dyDescent="0.25">
      <c r="A26" s="276" t="s">
        <v>79</v>
      </c>
      <c r="B26" s="275" t="s">
        <v>1126</v>
      </c>
      <c r="C26" s="295">
        <f>C27+C82</f>
        <v>764162.21590079996</v>
      </c>
      <c r="D26" s="291">
        <f>C26-C22</f>
        <v>0.41590080002788454</v>
      </c>
      <c r="E26" s="271"/>
      <c r="F26" s="270"/>
    </row>
    <row r="27" spans="1:8" s="268" customFormat="1" x14ac:dyDescent="0.25">
      <c r="A27" s="276" t="s">
        <v>83</v>
      </c>
      <c r="B27" s="275" t="s">
        <v>1127</v>
      </c>
      <c r="C27" s="295">
        <f>(C28+C36+C54+C79+C80+C81)</f>
        <v>656891.21590079996</v>
      </c>
      <c r="D27" s="270"/>
      <c r="E27" s="271"/>
    </row>
    <row r="28" spans="1:8" s="268" customFormat="1" x14ac:dyDescent="0.25">
      <c r="A28" s="276">
        <v>1</v>
      </c>
      <c r="B28" s="275" t="s">
        <v>500</v>
      </c>
      <c r="C28" s="295">
        <f>SUM(C29:C32)+C35</f>
        <v>65204</v>
      </c>
      <c r="D28" s="270"/>
      <c r="E28" s="270"/>
    </row>
    <row r="29" spans="1:8" x14ac:dyDescent="0.25">
      <c r="A29" s="277"/>
      <c r="B29" s="294" t="s">
        <v>1304</v>
      </c>
      <c r="C29" s="296">
        <v>23245</v>
      </c>
      <c r="D29" s="271"/>
      <c r="E29" s="268"/>
    </row>
    <row r="30" spans="1:8" x14ac:dyDescent="0.25">
      <c r="A30" s="277"/>
      <c r="B30" s="294" t="s">
        <v>1305</v>
      </c>
      <c r="C30" s="296">
        <v>0</v>
      </c>
      <c r="D30" s="271"/>
      <c r="E30" s="268"/>
    </row>
    <row r="31" spans="1:8" x14ac:dyDescent="0.25">
      <c r="A31" s="277"/>
      <c r="B31" s="294" t="s">
        <v>1306</v>
      </c>
      <c r="C31" s="298">
        <v>20143</v>
      </c>
      <c r="D31" s="271"/>
      <c r="E31" s="268"/>
    </row>
    <row r="32" spans="1:8" x14ac:dyDescent="0.25">
      <c r="A32" s="277"/>
      <c r="B32" s="280" t="s">
        <v>1128</v>
      </c>
      <c r="C32" s="296">
        <f>C33+C34</f>
        <v>13074</v>
      </c>
      <c r="D32" s="271"/>
      <c r="E32" s="268"/>
    </row>
    <row r="33" spans="1:7" x14ac:dyDescent="0.25">
      <c r="A33" s="277"/>
      <c r="B33" s="281" t="s">
        <v>1129</v>
      </c>
      <c r="C33" s="296">
        <v>0</v>
      </c>
      <c r="D33" s="271"/>
      <c r="E33" s="268"/>
    </row>
    <row r="34" spans="1:7" x14ac:dyDescent="0.25">
      <c r="A34" s="277"/>
      <c r="B34" s="281" t="s">
        <v>1130</v>
      </c>
      <c r="C34" s="296">
        <v>13074</v>
      </c>
      <c r="D34" s="271"/>
      <c r="E34" s="268"/>
    </row>
    <row r="35" spans="1:7" x14ac:dyDescent="0.25">
      <c r="A35" s="277"/>
      <c r="B35" s="280" t="s">
        <v>1315</v>
      </c>
      <c r="C35" s="296">
        <v>8742</v>
      </c>
      <c r="D35" s="271"/>
      <c r="E35" s="268"/>
    </row>
    <row r="36" spans="1:7" s="268" customFormat="1" x14ac:dyDescent="0.25">
      <c r="A36" s="276">
        <v>2</v>
      </c>
      <c r="B36" s="275" t="s">
        <v>96</v>
      </c>
      <c r="C36" s="297">
        <f>SUM(C37:C43)+C47+C50+C51+C52+C53</f>
        <v>437782.37828068004</v>
      </c>
      <c r="D36" s="270"/>
      <c r="E36" s="270"/>
    </row>
    <row r="37" spans="1:7" x14ac:dyDescent="0.25">
      <c r="A37" s="277"/>
      <c r="B37" s="278" t="s">
        <v>1131</v>
      </c>
      <c r="C37" s="298">
        <f>'[1]CHI NS HUYEN 35'!F18</f>
        <v>61091</v>
      </c>
      <c r="D37" s="271"/>
      <c r="E37" s="270"/>
      <c r="G37" s="271"/>
    </row>
    <row r="38" spans="1:7" x14ac:dyDescent="0.25">
      <c r="A38" s="277"/>
      <c r="B38" s="278" t="s">
        <v>1316</v>
      </c>
      <c r="C38" s="296">
        <f>'[1]CHI NS HUYEN 35'!F23</f>
        <v>3258.46976</v>
      </c>
      <c r="D38" s="271"/>
      <c r="E38" s="268"/>
    </row>
    <row r="39" spans="1:7" x14ac:dyDescent="0.25">
      <c r="A39" s="277"/>
      <c r="B39" s="278" t="s">
        <v>1540</v>
      </c>
      <c r="C39" s="296">
        <f>'[1]CHI NS HUYEN 35'!F29</f>
        <v>560</v>
      </c>
      <c r="D39" s="271"/>
      <c r="E39" s="268"/>
    </row>
    <row r="40" spans="1:7" x14ac:dyDescent="0.25">
      <c r="A40" s="277"/>
      <c r="B40" s="278" t="s">
        <v>1132</v>
      </c>
      <c r="C40" s="296">
        <f>'[1]CHI NS HUYEN 35'!F30</f>
        <v>8828</v>
      </c>
      <c r="D40" s="271"/>
      <c r="E40" s="268"/>
    </row>
    <row r="41" spans="1:7" x14ac:dyDescent="0.25">
      <c r="A41" s="277"/>
      <c r="B41" s="278" t="s">
        <v>1133</v>
      </c>
      <c r="C41" s="296">
        <f>[1]SNGD!G11-'[1]TONG HOP SO 30'!C56+0.2</f>
        <v>307129.01859748003</v>
      </c>
      <c r="D41" s="271"/>
      <c r="E41" s="268"/>
      <c r="F41" s="271"/>
    </row>
    <row r="42" spans="1:7" x14ac:dyDescent="0.25">
      <c r="A42" s="277"/>
      <c r="B42" s="278" t="s">
        <v>1134</v>
      </c>
      <c r="C42" s="296">
        <f>'[1]CHI NS HUYEN 35'!F31</f>
        <v>7429.9605335999995</v>
      </c>
      <c r="D42" s="271"/>
      <c r="E42" s="268"/>
    </row>
    <row r="43" spans="1:7" x14ac:dyDescent="0.25">
      <c r="A43" s="277"/>
      <c r="B43" s="278" t="s">
        <v>1135</v>
      </c>
      <c r="C43" s="296">
        <f>SUM(C44:C46)</f>
        <v>35816.929389600002</v>
      </c>
      <c r="D43" s="271"/>
      <c r="E43" s="268"/>
      <c r="F43" s="271"/>
    </row>
    <row r="44" spans="1:7" x14ac:dyDescent="0.25">
      <c r="A44" s="277"/>
      <c r="B44" s="278" t="s">
        <v>1136</v>
      </c>
      <c r="C44" s="296">
        <f>'[1]CHI NS HUYEN 35'!F36</f>
        <v>18974.698052</v>
      </c>
      <c r="D44" s="271"/>
      <c r="E44" s="268"/>
      <c r="F44" s="271"/>
    </row>
    <row r="45" spans="1:7" x14ac:dyDescent="0.25">
      <c r="A45" s="277"/>
      <c r="B45" s="278" t="s">
        <v>1137</v>
      </c>
      <c r="C45" s="296">
        <f>'[1]CHI NS HUYEN 35'!F64</f>
        <v>11471.043399999999</v>
      </c>
      <c r="D45" s="271"/>
      <c r="E45" s="268"/>
      <c r="F45" s="271"/>
    </row>
    <row r="46" spans="1:7" x14ac:dyDescent="0.25">
      <c r="A46" s="277"/>
      <c r="B46" s="278" t="s">
        <v>1138</v>
      </c>
      <c r="C46" s="296">
        <f>'[1]CHI NS HUYEN 35'!F50+'[1]CHI NS HUYEN 35'!F56</f>
        <v>5371.1879375999997</v>
      </c>
      <c r="D46" s="271"/>
      <c r="E46" s="268"/>
      <c r="F46" s="271"/>
    </row>
    <row r="47" spans="1:7" x14ac:dyDescent="0.25">
      <c r="A47" s="277"/>
      <c r="B47" s="278" t="s">
        <v>1139</v>
      </c>
      <c r="C47" s="296">
        <f>SUM(C48:C49)</f>
        <v>5572</v>
      </c>
      <c r="D47" s="271"/>
      <c r="E47" s="268"/>
      <c r="F47" s="271"/>
    </row>
    <row r="48" spans="1:7" x14ac:dyDescent="0.25">
      <c r="A48" s="277"/>
      <c r="B48" s="278" t="s">
        <v>1538</v>
      </c>
      <c r="C48" s="296">
        <f>'[1]CHI NS HUYEN 35'!F75</f>
        <v>5250</v>
      </c>
      <c r="D48" s="271"/>
      <c r="E48" s="268"/>
    </row>
    <row r="49" spans="1:7" x14ac:dyDescent="0.25">
      <c r="A49" s="277"/>
      <c r="B49" s="278" t="s">
        <v>1317</v>
      </c>
      <c r="C49" s="296">
        <f>'[1]CHI NS HUYEN 35'!F76</f>
        <v>322</v>
      </c>
      <c r="D49" s="271"/>
      <c r="E49" s="268"/>
    </row>
    <row r="50" spans="1:7" ht="33" x14ac:dyDescent="0.25">
      <c r="A50" s="277"/>
      <c r="B50" s="280" t="s">
        <v>1539</v>
      </c>
      <c r="C50" s="299">
        <v>500</v>
      </c>
      <c r="D50" s="271"/>
      <c r="E50" s="268"/>
    </row>
    <row r="51" spans="1:7" x14ac:dyDescent="0.25">
      <c r="A51" s="277"/>
      <c r="B51" s="280" t="s">
        <v>1554</v>
      </c>
      <c r="C51" s="299">
        <f>2500-256</f>
        <v>2244</v>
      </c>
      <c r="D51" s="271"/>
      <c r="E51" s="268"/>
    </row>
    <row r="52" spans="1:7" x14ac:dyDescent="0.25">
      <c r="A52" s="277"/>
      <c r="B52" s="280" t="s">
        <v>1502</v>
      </c>
      <c r="C52" s="298">
        <f>'[1]CHI NS HUYEN 35'!F77</f>
        <v>3106</v>
      </c>
      <c r="D52" s="271"/>
      <c r="E52" s="268"/>
    </row>
    <row r="53" spans="1:7" x14ac:dyDescent="0.25">
      <c r="A53" s="282"/>
      <c r="B53" s="283" t="s">
        <v>1226</v>
      </c>
      <c r="C53" s="299">
        <f>'[1]CHI NS HUYEN 35'!F82</f>
        <v>2247</v>
      </c>
      <c r="D53" s="271"/>
      <c r="E53" s="270"/>
    </row>
    <row r="54" spans="1:7" s="268" customFormat="1" x14ac:dyDescent="0.25">
      <c r="A54" s="276">
        <v>3</v>
      </c>
      <c r="B54" s="284" t="s">
        <v>1302</v>
      </c>
      <c r="C54" s="295">
        <f>C55+C63+C69</f>
        <v>134703.79999999999</v>
      </c>
      <c r="D54" s="272"/>
      <c r="E54" s="270"/>
      <c r="F54" s="267"/>
      <c r="G54" s="267"/>
    </row>
    <row r="55" spans="1:7" s="268" customFormat="1" x14ac:dyDescent="0.25">
      <c r="A55" s="276"/>
      <c r="B55" s="284" t="s">
        <v>1141</v>
      </c>
      <c r="C55" s="295">
        <f>SUM(C56:C62)</f>
        <v>23097</v>
      </c>
      <c r="D55" s="272"/>
      <c r="E55" s="270"/>
      <c r="F55" s="267"/>
      <c r="G55" s="267"/>
    </row>
    <row r="56" spans="1:7" s="268" customFormat="1" x14ac:dyDescent="0.25">
      <c r="A56" s="276"/>
      <c r="B56" s="278" t="s">
        <v>1146</v>
      </c>
      <c r="C56" s="296">
        <v>4700</v>
      </c>
      <c r="D56" s="272"/>
      <c r="E56" s="270"/>
      <c r="F56" s="267"/>
      <c r="G56" s="267"/>
    </row>
    <row r="57" spans="1:7" s="268" customFormat="1" x14ac:dyDescent="0.25">
      <c r="A57" s="276"/>
      <c r="B57" s="285" t="s">
        <v>1142</v>
      </c>
      <c r="C57" s="296">
        <v>320</v>
      </c>
      <c r="D57" s="272"/>
      <c r="E57" s="270"/>
      <c r="F57" s="267"/>
      <c r="G57" s="267"/>
    </row>
    <row r="58" spans="1:7" s="268" customFormat="1" x14ac:dyDescent="0.25">
      <c r="A58" s="276"/>
      <c r="B58" s="285" t="s">
        <v>1143</v>
      </c>
      <c r="C58" s="296">
        <v>165</v>
      </c>
      <c r="D58" s="272"/>
      <c r="E58" s="270"/>
      <c r="F58" s="267"/>
      <c r="G58" s="267"/>
    </row>
    <row r="59" spans="1:7" s="268" customFormat="1" x14ac:dyDescent="0.25">
      <c r="A59" s="276"/>
      <c r="B59" s="285" t="s">
        <v>1244</v>
      </c>
      <c r="C59" s="296">
        <v>0</v>
      </c>
      <c r="D59" s="272"/>
      <c r="E59" s="270"/>
      <c r="F59" s="267"/>
      <c r="G59" s="267"/>
    </row>
    <row r="60" spans="1:7" s="268" customFormat="1" x14ac:dyDescent="0.25">
      <c r="A60" s="276"/>
      <c r="B60" s="285" t="s">
        <v>1144</v>
      </c>
      <c r="C60" s="296">
        <v>0</v>
      </c>
      <c r="D60" s="272"/>
      <c r="E60" s="270"/>
      <c r="F60" s="267"/>
      <c r="G60" s="267"/>
    </row>
    <row r="61" spans="1:7" s="268" customFormat="1" x14ac:dyDescent="0.25">
      <c r="A61" s="276"/>
      <c r="B61" s="285" t="s">
        <v>1335</v>
      </c>
      <c r="C61" s="296">
        <v>6637</v>
      </c>
      <c r="D61" s="272"/>
      <c r="E61" s="270"/>
      <c r="F61" s="267"/>
      <c r="G61" s="267"/>
    </row>
    <row r="62" spans="1:7" s="268" customFormat="1" x14ac:dyDescent="0.25">
      <c r="A62" s="276"/>
      <c r="B62" s="278" t="s">
        <v>1238</v>
      </c>
      <c r="C62" s="296">
        <v>11275</v>
      </c>
      <c r="D62" s="272"/>
      <c r="E62" s="270"/>
      <c r="F62" s="267"/>
      <c r="G62" s="267"/>
    </row>
    <row r="63" spans="1:7" s="268" customFormat="1" x14ac:dyDescent="0.25">
      <c r="A63" s="276"/>
      <c r="B63" s="284" t="s">
        <v>1145</v>
      </c>
      <c r="C63" s="295">
        <f>SUM(C64:C68)</f>
        <v>89539</v>
      </c>
      <c r="D63" s="272"/>
      <c r="E63" s="270"/>
      <c r="F63" s="267"/>
      <c r="G63" s="267"/>
    </row>
    <row r="64" spans="1:7" x14ac:dyDescent="0.25">
      <c r="A64" s="277"/>
      <c r="B64" s="286" t="s">
        <v>1276</v>
      </c>
      <c r="C64" s="296">
        <v>3637</v>
      </c>
      <c r="D64" s="273"/>
      <c r="E64" s="271"/>
      <c r="F64" s="269"/>
      <c r="G64" s="269"/>
    </row>
    <row r="65" spans="1:7" s="268" customFormat="1" ht="49.5" x14ac:dyDescent="0.25">
      <c r="A65" s="276"/>
      <c r="B65" s="287" t="s">
        <v>1300</v>
      </c>
      <c r="C65" s="300">
        <f>'[1]CHI NS HUYEN 35'!F28</f>
        <v>76000</v>
      </c>
      <c r="D65" s="272"/>
      <c r="E65" s="270"/>
      <c r="F65" s="267"/>
      <c r="G65" s="267"/>
    </row>
    <row r="66" spans="1:7" s="268" customFormat="1" x14ac:dyDescent="0.25">
      <c r="A66" s="276"/>
      <c r="B66" s="288" t="s">
        <v>1334</v>
      </c>
      <c r="C66" s="300">
        <v>7300</v>
      </c>
      <c r="D66" s="272"/>
      <c r="E66" s="270"/>
      <c r="F66" s="267"/>
      <c r="G66" s="267"/>
    </row>
    <row r="67" spans="1:7" s="268" customFormat="1" x14ac:dyDescent="0.25">
      <c r="A67" s="289"/>
      <c r="B67" s="287" t="s">
        <v>1553</v>
      </c>
      <c r="C67" s="300">
        <v>1920</v>
      </c>
      <c r="D67" s="272"/>
      <c r="E67" s="270"/>
      <c r="F67" s="267"/>
      <c r="G67" s="267"/>
    </row>
    <row r="68" spans="1:7" s="268" customFormat="1" x14ac:dyDescent="0.25">
      <c r="A68" s="289"/>
      <c r="B68" s="288" t="s">
        <v>1318</v>
      </c>
      <c r="C68" s="300">
        <f>1006-'[1]DT CHI NS XA 41'!C41</f>
        <v>682</v>
      </c>
      <c r="D68" s="272"/>
      <c r="E68" s="270"/>
      <c r="F68" s="267"/>
      <c r="G68" s="267"/>
    </row>
    <row r="69" spans="1:7" s="268" customFormat="1" x14ac:dyDescent="0.25">
      <c r="A69" s="276"/>
      <c r="B69" s="290" t="s">
        <v>1227</v>
      </c>
      <c r="C69" s="301">
        <f>SUM(C70:C78)</f>
        <v>22067.8</v>
      </c>
      <c r="D69" s="272"/>
      <c r="E69" s="270"/>
      <c r="F69" s="267"/>
      <c r="G69" s="267"/>
    </row>
    <row r="70" spans="1:7" x14ac:dyDescent="0.25">
      <c r="A70" s="277"/>
      <c r="B70" s="287" t="s">
        <v>1319</v>
      </c>
      <c r="C70" s="300">
        <v>9355</v>
      </c>
      <c r="D70" s="273"/>
      <c r="E70" s="268"/>
      <c r="F70" s="269"/>
      <c r="G70" s="269"/>
    </row>
    <row r="71" spans="1:7" x14ac:dyDescent="0.25">
      <c r="A71" s="277"/>
      <c r="B71" s="287" t="s">
        <v>1236</v>
      </c>
      <c r="C71" s="300">
        <v>1171</v>
      </c>
      <c r="D71" s="273"/>
      <c r="E71" s="268"/>
      <c r="F71" s="269"/>
      <c r="G71" s="269"/>
    </row>
    <row r="72" spans="1:7" x14ac:dyDescent="0.25">
      <c r="A72" s="277"/>
      <c r="B72" s="287" t="s">
        <v>1237</v>
      </c>
      <c r="C72" s="300">
        <v>2464</v>
      </c>
      <c r="D72" s="273"/>
      <c r="E72" s="268"/>
      <c r="F72" s="269"/>
      <c r="G72" s="269"/>
    </row>
    <row r="73" spans="1:7" x14ac:dyDescent="0.25">
      <c r="A73" s="277"/>
      <c r="B73" s="288" t="s">
        <v>1549</v>
      </c>
      <c r="C73" s="302">
        <f>2017-108-727-982-37</f>
        <v>163</v>
      </c>
      <c r="D73" s="273"/>
      <c r="E73" s="268"/>
      <c r="F73" s="269"/>
      <c r="G73" s="269"/>
    </row>
    <row r="74" spans="1:7" x14ac:dyDescent="0.25">
      <c r="A74" s="277"/>
      <c r="B74" s="287" t="s">
        <v>1550</v>
      </c>
      <c r="C74" s="300">
        <v>193</v>
      </c>
      <c r="D74" s="273"/>
      <c r="E74" s="268"/>
      <c r="F74" s="269"/>
      <c r="G74" s="269"/>
    </row>
    <row r="75" spans="1:7" x14ac:dyDescent="0.25">
      <c r="A75" s="277"/>
      <c r="B75" s="288" t="s">
        <v>1321</v>
      </c>
      <c r="C75" s="300">
        <v>160</v>
      </c>
      <c r="D75" s="273"/>
      <c r="E75" s="268"/>
      <c r="F75" s="269"/>
      <c r="G75" s="269"/>
    </row>
    <row r="76" spans="1:7" x14ac:dyDescent="0.25">
      <c r="A76" s="277"/>
      <c r="B76" s="288" t="s">
        <v>1301</v>
      </c>
      <c r="C76" s="300">
        <v>2300</v>
      </c>
      <c r="D76" s="273"/>
      <c r="E76" s="268"/>
      <c r="F76" s="269"/>
      <c r="G76" s="269"/>
    </row>
    <row r="77" spans="1:7" x14ac:dyDescent="0.25">
      <c r="A77" s="277"/>
      <c r="B77" s="288" t="s">
        <v>1551</v>
      </c>
      <c r="C77" s="300">
        <f>(9325-'[1]DT CHI NS XA 41'!C34-'[1]DT CHI NS XA 41'!C35)</f>
        <v>5838</v>
      </c>
      <c r="D77" s="273"/>
      <c r="E77" s="268"/>
      <c r="F77" s="269"/>
      <c r="G77" s="269"/>
    </row>
    <row r="78" spans="1:7" x14ac:dyDescent="0.25">
      <c r="A78" s="277"/>
      <c r="B78" s="288" t="s">
        <v>1552</v>
      </c>
      <c r="C78" s="300">
        <f>(2505-'[1]DT CHI NS XA 41'!C38)-'PL 06'!C40</f>
        <v>423.80000000000018</v>
      </c>
      <c r="D78" s="273"/>
      <c r="E78" s="268"/>
      <c r="F78" s="269"/>
      <c r="G78" s="269"/>
    </row>
    <row r="79" spans="1:7" s="268" customFormat="1" x14ac:dyDescent="0.25">
      <c r="A79" s="276">
        <v>4</v>
      </c>
      <c r="B79" s="275" t="s">
        <v>1147</v>
      </c>
      <c r="C79" s="303">
        <f>'[1]CHI NS HUYEN 35'!N17+[1]SNGD!G80</f>
        <v>3621.3905994800039</v>
      </c>
      <c r="D79" s="291">
        <f>C79+C85</f>
        <v>5876.3905994800043</v>
      </c>
      <c r="E79" s="270"/>
    </row>
    <row r="80" spans="1:7" s="268" customFormat="1" x14ac:dyDescent="0.25">
      <c r="A80" s="276">
        <v>5</v>
      </c>
      <c r="B80" s="275" t="s">
        <v>1148</v>
      </c>
      <c r="C80" s="295">
        <f>'[1]CHI NS HUYEN 35'!F83</f>
        <v>3800</v>
      </c>
      <c r="D80" s="292"/>
      <c r="E80" s="270"/>
    </row>
    <row r="81" spans="1:6" s="268" customFormat="1" x14ac:dyDescent="0.25">
      <c r="A81" s="276">
        <v>6</v>
      </c>
      <c r="B81" s="275" t="s">
        <v>1149</v>
      </c>
      <c r="C81" s="295">
        <f>'PL 03'!F82</f>
        <v>11779.647020640001</v>
      </c>
      <c r="D81" s="291">
        <f>C81+C86</f>
        <v>13883</v>
      </c>
      <c r="E81" s="270"/>
    </row>
    <row r="82" spans="1:6" x14ac:dyDescent="0.25">
      <c r="A82" s="276" t="s">
        <v>70</v>
      </c>
      <c r="B82" s="275" t="s">
        <v>1150</v>
      </c>
      <c r="C82" s="295">
        <f>SUM(C83:C86)</f>
        <v>107271</v>
      </c>
      <c r="D82" s="291"/>
      <c r="E82" s="271"/>
      <c r="F82" s="268"/>
    </row>
    <row r="83" spans="1:6" x14ac:dyDescent="0.25">
      <c r="A83" s="279" t="s">
        <v>22</v>
      </c>
      <c r="B83" s="278" t="s">
        <v>1151</v>
      </c>
      <c r="C83" s="296">
        <f>107271-C84-C85-C86</f>
        <v>98392.647020639997</v>
      </c>
      <c r="D83" s="293"/>
      <c r="E83" s="268"/>
      <c r="F83" s="271"/>
    </row>
    <row r="84" spans="1:6" x14ac:dyDescent="0.25">
      <c r="A84" s="279" t="s">
        <v>22</v>
      </c>
      <c r="B84" s="278" t="s">
        <v>1140</v>
      </c>
      <c r="C84" s="296">
        <f>SUM('PL 05'!N12:N26)</f>
        <v>4519.9999999999991</v>
      </c>
      <c r="D84" s="271"/>
      <c r="E84" s="268"/>
      <c r="F84" s="271"/>
    </row>
    <row r="85" spans="1:6" x14ac:dyDescent="0.25">
      <c r="A85" s="279" t="s">
        <v>22</v>
      </c>
      <c r="B85" s="278" t="s">
        <v>1147</v>
      </c>
      <c r="C85" s="296">
        <f>'PL 06'!C42</f>
        <v>2255</v>
      </c>
      <c r="D85" s="271"/>
      <c r="E85" s="268"/>
      <c r="F85" s="271"/>
    </row>
    <row r="86" spans="1:6" x14ac:dyDescent="0.25">
      <c r="A86" s="277" t="s">
        <v>22</v>
      </c>
      <c r="B86" s="278" t="s">
        <v>1149</v>
      </c>
      <c r="C86" s="296">
        <f>'PL 06'!C43</f>
        <v>2103.3529793600001</v>
      </c>
      <c r="D86" s="271"/>
      <c r="E86" s="268"/>
    </row>
    <row r="87" spans="1:6" x14ac:dyDescent="0.25">
      <c r="D87" s="271"/>
    </row>
    <row r="88" spans="1:6" s="268" customFormat="1" x14ac:dyDescent="0.25">
      <c r="A88" s="269"/>
      <c r="B88" s="266"/>
      <c r="C88" s="266"/>
      <c r="D88" s="270"/>
    </row>
    <row r="89" spans="1:6" x14ac:dyDescent="0.25">
      <c r="A89" s="267"/>
      <c r="B89" s="268"/>
      <c r="C89" s="270"/>
    </row>
    <row r="90" spans="1:6" x14ac:dyDescent="0.25">
      <c r="C90" s="271"/>
    </row>
    <row r="91" spans="1:6" s="268" customFormat="1" x14ac:dyDescent="0.25">
      <c r="A91" s="269"/>
      <c r="B91" s="266"/>
      <c r="C91" s="271"/>
    </row>
    <row r="92" spans="1:6" x14ac:dyDescent="0.25">
      <c r="A92" s="267"/>
      <c r="B92" s="268"/>
      <c r="C92" s="270"/>
    </row>
    <row r="93" spans="1:6" x14ac:dyDescent="0.25">
      <c r="C93" s="271"/>
    </row>
    <row r="94" spans="1:6" s="268" customFormat="1" x14ac:dyDescent="0.25">
      <c r="A94" s="269"/>
      <c r="B94" s="266"/>
      <c r="C94" s="271"/>
    </row>
    <row r="95" spans="1:6" x14ac:dyDescent="0.25">
      <c r="A95" s="267"/>
      <c r="B95" s="268"/>
      <c r="C95" s="270"/>
    </row>
  </sheetData>
  <mergeCells count="8">
    <mergeCell ref="A1:C1"/>
    <mergeCell ref="A2:C2"/>
    <mergeCell ref="B5:C5"/>
    <mergeCell ref="A6:A8"/>
    <mergeCell ref="B6:B8"/>
    <mergeCell ref="C6:C8"/>
    <mergeCell ref="A4:C4"/>
    <mergeCell ref="A3:C3"/>
  </mergeCells>
  <printOptions horizontalCentered="1"/>
  <pageMargins left="0" right="0" top="0.26" bottom="0.55118110236220474" header="0.16" footer="0.23622047244094491"/>
  <pageSetup paperSize="9" scale="85" orientation="portrait" verticalDpi="0" r:id="rId1"/>
  <headerFooter>
    <oddFooter>&amp;F&amp;RPage &amp;P</oddFooter>
  </headerFooter>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0000"/>
  </sheetPr>
  <dimension ref="A1:N29"/>
  <sheetViews>
    <sheetView zoomScale="130" zoomScaleNormal="130" workbookViewId="0">
      <selection activeCell="D6" sqref="D6:D8"/>
    </sheetView>
  </sheetViews>
  <sheetFormatPr defaultColWidth="9.140625" defaultRowHeight="15.75" x14ac:dyDescent="0.25"/>
  <cols>
    <col min="1" max="1" width="5.85546875" style="61" customWidth="1"/>
    <col min="2" max="2" width="28.7109375" style="61" customWidth="1"/>
    <col min="3" max="3" width="15.28515625" style="61" customWidth="1"/>
    <col min="4" max="4" width="20.5703125" style="61" customWidth="1"/>
    <col min="5" max="5" width="11.42578125" style="61" customWidth="1"/>
    <col min="6" max="6" width="10.28515625" style="61" customWidth="1"/>
    <col min="7" max="7" width="9.85546875" style="61" bestFit="1" customWidth="1"/>
    <col min="8" max="8" width="11" style="61" customWidth="1"/>
    <col min="9" max="9" width="9.85546875" style="61" bestFit="1" customWidth="1"/>
    <col min="10" max="10" width="11.28515625" style="61" customWidth="1"/>
    <col min="11" max="11" width="9.7109375" style="61" customWidth="1"/>
    <col min="12" max="12" width="9.42578125" style="61" customWidth="1"/>
    <col min="13" max="16384" width="9.140625" style="61"/>
  </cols>
  <sheetData>
    <row r="1" spans="1:14" x14ac:dyDescent="0.25">
      <c r="L1" s="466" t="s">
        <v>1246</v>
      </c>
      <c r="M1" s="466"/>
      <c r="N1" s="466"/>
    </row>
    <row r="2" spans="1:14" ht="18" customHeight="1" x14ac:dyDescent="0.25">
      <c r="A2" s="445" t="s">
        <v>1331</v>
      </c>
      <c r="B2" s="445"/>
      <c r="C2" s="445"/>
      <c r="D2" s="445"/>
      <c r="E2" s="445"/>
      <c r="F2" s="445"/>
      <c r="G2" s="445"/>
      <c r="H2" s="445"/>
      <c r="I2" s="445"/>
      <c r="J2" s="445"/>
      <c r="K2" s="445"/>
      <c r="L2" s="445"/>
      <c r="M2" s="445"/>
      <c r="N2" s="445"/>
    </row>
    <row r="3" spans="1:14" ht="18" customHeight="1" x14ac:dyDescent="0.25">
      <c r="A3" s="417" t="str">
        <f>'PL 01'!A3:C3</f>
        <v>(Dự toán trình Hội đồng nhân dân huyện)</v>
      </c>
      <c r="B3" s="417"/>
      <c r="C3" s="417"/>
      <c r="D3" s="417"/>
      <c r="E3" s="417"/>
      <c r="F3" s="417"/>
      <c r="G3" s="417"/>
      <c r="H3" s="417"/>
      <c r="I3" s="417"/>
      <c r="J3" s="417"/>
      <c r="K3" s="417"/>
      <c r="L3" s="417"/>
      <c r="M3" s="417"/>
      <c r="N3" s="417"/>
    </row>
    <row r="4" spans="1:14" ht="16.5" customHeight="1" x14ac:dyDescent="0.25">
      <c r="A4" s="463" t="str">
        <f>'PL 01'!A4:C4</f>
        <v>(Kèm theo Báo cáo số: 431/BC-UBND ngày 29 tháng 12 năm 2023 của UBND huyện Phụng Hiệp)</v>
      </c>
      <c r="B4" s="463"/>
      <c r="C4" s="463"/>
      <c r="D4" s="463"/>
      <c r="E4" s="463"/>
      <c r="F4" s="463"/>
      <c r="G4" s="463"/>
      <c r="H4" s="463"/>
      <c r="I4" s="463"/>
      <c r="J4" s="463"/>
      <c r="K4" s="463"/>
      <c r="L4" s="463"/>
      <c r="M4" s="463"/>
      <c r="N4" s="463"/>
    </row>
    <row r="5" spans="1:14" x14ac:dyDescent="0.25">
      <c r="L5" s="467" t="s">
        <v>1109</v>
      </c>
      <c r="M5" s="467"/>
      <c r="N5" s="467"/>
    </row>
    <row r="6" spans="1:14" ht="18" customHeight="1" x14ac:dyDescent="0.25">
      <c r="A6" s="464" t="s">
        <v>3</v>
      </c>
      <c r="B6" s="464" t="s">
        <v>161</v>
      </c>
      <c r="C6" s="464" t="s">
        <v>483</v>
      </c>
      <c r="D6" s="464" t="s">
        <v>959</v>
      </c>
      <c r="E6" s="449" t="s">
        <v>469</v>
      </c>
      <c r="F6" s="449"/>
      <c r="G6" s="449"/>
      <c r="H6" s="449"/>
      <c r="I6" s="449"/>
      <c r="J6" s="449"/>
      <c r="K6" s="449"/>
      <c r="L6" s="449"/>
      <c r="M6" s="449"/>
      <c r="N6" s="449"/>
    </row>
    <row r="7" spans="1:14" ht="27.75" customHeight="1" x14ac:dyDescent="0.25">
      <c r="A7" s="468"/>
      <c r="B7" s="468"/>
      <c r="C7" s="468"/>
      <c r="D7" s="468"/>
      <c r="E7" s="464" t="s">
        <v>954</v>
      </c>
      <c r="F7" s="464" t="s">
        <v>955</v>
      </c>
      <c r="G7" s="464" t="s">
        <v>956</v>
      </c>
      <c r="H7" s="471" t="s">
        <v>1515</v>
      </c>
      <c r="I7" s="472"/>
      <c r="J7" s="471" t="s">
        <v>1220</v>
      </c>
      <c r="K7" s="473"/>
      <c r="L7" s="474"/>
      <c r="M7" s="464" t="s">
        <v>957</v>
      </c>
      <c r="N7" s="469" t="s">
        <v>958</v>
      </c>
    </row>
    <row r="8" spans="1:14" ht="80.099999999999994" customHeight="1" x14ac:dyDescent="0.25">
      <c r="A8" s="465"/>
      <c r="B8" s="465"/>
      <c r="C8" s="465"/>
      <c r="D8" s="465"/>
      <c r="E8" s="465"/>
      <c r="F8" s="465"/>
      <c r="G8" s="465"/>
      <c r="H8" s="63" t="s">
        <v>1296</v>
      </c>
      <c r="I8" s="163" t="s">
        <v>1297</v>
      </c>
      <c r="J8" s="29" t="s">
        <v>965</v>
      </c>
      <c r="K8" s="29" t="s">
        <v>960</v>
      </c>
      <c r="L8" s="29" t="s">
        <v>961</v>
      </c>
      <c r="M8" s="465"/>
      <c r="N8" s="470"/>
    </row>
    <row r="9" spans="1:14" s="64" customFormat="1" ht="15" customHeight="1" x14ac:dyDescent="0.25">
      <c r="A9" s="196" t="s">
        <v>15</v>
      </c>
      <c r="B9" s="196" t="s">
        <v>16</v>
      </c>
      <c r="C9" s="196">
        <v>1</v>
      </c>
      <c r="D9" s="196" t="s">
        <v>963</v>
      </c>
      <c r="E9" s="196">
        <v>3</v>
      </c>
      <c r="F9" s="196">
        <v>4</v>
      </c>
      <c r="G9" s="196">
        <v>5</v>
      </c>
      <c r="H9" s="196"/>
      <c r="I9" s="197">
        <v>6</v>
      </c>
      <c r="J9" s="196" t="s">
        <v>962</v>
      </c>
      <c r="K9" s="196">
        <v>8</v>
      </c>
      <c r="L9" s="196">
        <v>9</v>
      </c>
      <c r="M9" s="196">
        <v>10</v>
      </c>
      <c r="N9" s="197">
        <v>11</v>
      </c>
    </row>
    <row r="10" spans="1:14" ht="20.100000000000001" customHeight="1" x14ac:dyDescent="0.25">
      <c r="A10" s="168"/>
      <c r="B10" s="165" t="s">
        <v>133</v>
      </c>
      <c r="C10" s="167">
        <f>D10</f>
        <v>114010</v>
      </c>
      <c r="D10" s="167">
        <f>SUM(D11:D29)</f>
        <v>114010</v>
      </c>
      <c r="E10" s="167">
        <f t="shared" ref="E10:N10" si="0">SUM(E11:E29)</f>
        <v>49900</v>
      </c>
      <c r="F10" s="167">
        <f t="shared" si="0"/>
        <v>25610</v>
      </c>
      <c r="G10" s="167">
        <f t="shared" si="0"/>
        <v>3500</v>
      </c>
      <c r="H10" s="167">
        <f t="shared" si="0"/>
        <v>19420</v>
      </c>
      <c r="I10" s="167">
        <f t="shared" si="0"/>
        <v>4580</v>
      </c>
      <c r="J10" s="167">
        <f t="shared" si="0"/>
        <v>5300</v>
      </c>
      <c r="K10" s="167">
        <f t="shared" si="0"/>
        <v>1750</v>
      </c>
      <c r="L10" s="167">
        <f t="shared" si="0"/>
        <v>3550</v>
      </c>
      <c r="M10" s="167">
        <f t="shared" si="0"/>
        <v>3000</v>
      </c>
      <c r="N10" s="167">
        <f t="shared" si="0"/>
        <v>2700</v>
      </c>
    </row>
    <row r="11" spans="1:14" ht="20.100000000000001" customHeight="1" x14ac:dyDescent="0.25">
      <c r="A11" s="168">
        <v>1</v>
      </c>
      <c r="B11" s="169" t="s">
        <v>936</v>
      </c>
      <c r="C11" s="164">
        <f>D11</f>
        <v>4500</v>
      </c>
      <c r="D11" s="164">
        <f>SUM(E11:I11)+J11+M11+N11</f>
        <v>4500</v>
      </c>
      <c r="E11" s="164"/>
      <c r="F11" s="164"/>
      <c r="G11" s="164"/>
      <c r="H11" s="164"/>
      <c r="I11" s="164"/>
      <c r="J11" s="164">
        <f t="shared" ref="J11:J29" si="1">K11+L11</f>
        <v>2660</v>
      </c>
      <c r="K11" s="164"/>
      <c r="L11" s="164">
        <v>2660</v>
      </c>
      <c r="M11" s="164"/>
      <c r="N11" s="164">
        <f>(2700-SUM(N15:N29))</f>
        <v>1840</v>
      </c>
    </row>
    <row r="12" spans="1:14" ht="20.100000000000001" customHeight="1" x14ac:dyDescent="0.25">
      <c r="A12" s="168">
        <v>2</v>
      </c>
      <c r="B12" s="169" t="s">
        <v>952</v>
      </c>
      <c r="C12" s="164">
        <f>D12</f>
        <v>37820</v>
      </c>
      <c r="D12" s="164">
        <f t="shared" ref="D12:D26" si="2">SUM(E12:I12)+J12+M12+N12</f>
        <v>37820</v>
      </c>
      <c r="E12" s="164">
        <v>36740</v>
      </c>
      <c r="F12" s="164">
        <v>260</v>
      </c>
      <c r="G12" s="164"/>
      <c r="H12" s="164">
        <v>0</v>
      </c>
      <c r="I12" s="164"/>
      <c r="J12" s="164">
        <f t="shared" si="1"/>
        <v>820</v>
      </c>
      <c r="K12" s="164">
        <v>820</v>
      </c>
      <c r="L12" s="164"/>
      <c r="M12" s="164">
        <v>0</v>
      </c>
      <c r="N12" s="164">
        <v>0</v>
      </c>
    </row>
    <row r="13" spans="1:14" ht="20.100000000000001" customHeight="1" x14ac:dyDescent="0.25">
      <c r="A13" s="168">
        <v>3</v>
      </c>
      <c r="B13" s="169" t="s">
        <v>1219</v>
      </c>
      <c r="C13" s="164">
        <f t="shared" ref="C13:C29" si="3">D13</f>
        <v>42890</v>
      </c>
      <c r="D13" s="164">
        <f t="shared" si="2"/>
        <v>42890</v>
      </c>
      <c r="E13" s="164"/>
      <c r="F13" s="164">
        <v>19970</v>
      </c>
      <c r="G13" s="164">
        <v>3500</v>
      </c>
      <c r="H13" s="164">
        <v>19420</v>
      </c>
      <c r="I13" s="164"/>
      <c r="J13" s="164">
        <f t="shared" si="1"/>
        <v>0</v>
      </c>
      <c r="K13" s="164"/>
      <c r="L13" s="164"/>
      <c r="M13" s="164">
        <v>0</v>
      </c>
      <c r="N13" s="164">
        <v>0</v>
      </c>
    </row>
    <row r="14" spans="1:14" ht="20.100000000000001" customHeight="1" x14ac:dyDescent="0.25">
      <c r="A14" s="168">
        <v>4</v>
      </c>
      <c r="B14" s="169" t="s">
        <v>953</v>
      </c>
      <c r="C14" s="164">
        <f t="shared" si="3"/>
        <v>3000</v>
      </c>
      <c r="D14" s="164">
        <f t="shared" si="2"/>
        <v>3000</v>
      </c>
      <c r="E14" s="164"/>
      <c r="F14" s="164"/>
      <c r="G14" s="164"/>
      <c r="H14" s="164"/>
      <c r="I14" s="164"/>
      <c r="J14" s="164">
        <f t="shared" si="1"/>
        <v>0</v>
      </c>
      <c r="K14" s="164"/>
      <c r="L14" s="164"/>
      <c r="M14" s="164">
        <v>3000</v>
      </c>
      <c r="N14" s="164">
        <v>0</v>
      </c>
    </row>
    <row r="15" spans="1:14" ht="20.100000000000001" customHeight="1" x14ac:dyDescent="0.25">
      <c r="A15" s="168">
        <v>5</v>
      </c>
      <c r="B15" s="169" t="s">
        <v>938</v>
      </c>
      <c r="C15" s="164">
        <f>D15</f>
        <v>3450</v>
      </c>
      <c r="D15" s="164">
        <f t="shared" si="2"/>
        <v>3450</v>
      </c>
      <c r="E15" s="164">
        <v>1930</v>
      </c>
      <c r="F15" s="164">
        <v>860</v>
      </c>
      <c r="G15" s="164"/>
      <c r="H15" s="164">
        <v>0</v>
      </c>
      <c r="I15" s="164">
        <v>360</v>
      </c>
      <c r="J15" s="164">
        <f t="shared" si="1"/>
        <v>230</v>
      </c>
      <c r="K15" s="164">
        <v>130</v>
      </c>
      <c r="L15" s="164">
        <v>100</v>
      </c>
      <c r="M15" s="164">
        <v>0</v>
      </c>
      <c r="N15" s="164">
        <v>70</v>
      </c>
    </row>
    <row r="16" spans="1:14" ht="20.100000000000001" customHeight="1" x14ac:dyDescent="0.25">
      <c r="A16" s="168">
        <v>6</v>
      </c>
      <c r="B16" s="169" t="s">
        <v>939</v>
      </c>
      <c r="C16" s="164">
        <f t="shared" si="3"/>
        <v>2360</v>
      </c>
      <c r="D16" s="164">
        <f t="shared" si="2"/>
        <v>2360</v>
      </c>
      <c r="E16" s="164">
        <v>1140</v>
      </c>
      <c r="F16" s="164">
        <v>640</v>
      </c>
      <c r="G16" s="164"/>
      <c r="H16" s="164">
        <v>0</v>
      </c>
      <c r="I16" s="164">
        <v>340</v>
      </c>
      <c r="J16" s="164">
        <f t="shared" si="1"/>
        <v>190</v>
      </c>
      <c r="K16" s="164">
        <v>120</v>
      </c>
      <c r="L16" s="164">
        <v>70</v>
      </c>
      <c r="M16" s="164">
        <v>0</v>
      </c>
      <c r="N16" s="164">
        <v>50</v>
      </c>
    </row>
    <row r="17" spans="1:14" ht="20.100000000000001" customHeight="1" x14ac:dyDescent="0.25">
      <c r="A17" s="168">
        <v>7</v>
      </c>
      <c r="B17" s="169" t="s">
        <v>940</v>
      </c>
      <c r="C17" s="164">
        <f t="shared" si="3"/>
        <v>3620</v>
      </c>
      <c r="D17" s="164">
        <f t="shared" si="2"/>
        <v>3620</v>
      </c>
      <c r="E17" s="164">
        <v>2190</v>
      </c>
      <c r="F17" s="164">
        <v>670</v>
      </c>
      <c r="G17" s="164"/>
      <c r="H17" s="164">
        <v>0</v>
      </c>
      <c r="I17" s="164">
        <v>490</v>
      </c>
      <c r="J17" s="164">
        <f t="shared" si="1"/>
        <v>210</v>
      </c>
      <c r="K17" s="164">
        <v>110</v>
      </c>
      <c r="L17" s="164">
        <v>100</v>
      </c>
      <c r="M17" s="164">
        <v>0</v>
      </c>
      <c r="N17" s="164">
        <v>60</v>
      </c>
    </row>
    <row r="18" spans="1:14" ht="20.100000000000001" customHeight="1" x14ac:dyDescent="0.25">
      <c r="A18" s="168">
        <v>8</v>
      </c>
      <c r="B18" s="169" t="s">
        <v>941</v>
      </c>
      <c r="C18" s="164">
        <f t="shared" si="3"/>
        <v>2210</v>
      </c>
      <c r="D18" s="164">
        <f t="shared" si="2"/>
        <v>2210</v>
      </c>
      <c r="E18" s="164">
        <v>1090</v>
      </c>
      <c r="F18" s="164">
        <v>450</v>
      </c>
      <c r="G18" s="164"/>
      <c r="H18" s="164">
        <v>0</v>
      </c>
      <c r="I18" s="164">
        <v>410</v>
      </c>
      <c r="J18" s="164">
        <f t="shared" si="1"/>
        <v>180</v>
      </c>
      <c r="K18" s="164">
        <v>80</v>
      </c>
      <c r="L18" s="164">
        <v>100</v>
      </c>
      <c r="M18" s="164">
        <v>0</v>
      </c>
      <c r="N18" s="164">
        <v>80</v>
      </c>
    </row>
    <row r="19" spans="1:14" ht="20.100000000000001" customHeight="1" x14ac:dyDescent="0.25">
      <c r="A19" s="168">
        <v>9</v>
      </c>
      <c r="B19" s="169" t="s">
        <v>942</v>
      </c>
      <c r="C19" s="164">
        <f t="shared" si="3"/>
        <v>2260</v>
      </c>
      <c r="D19" s="164">
        <f t="shared" si="2"/>
        <v>2260</v>
      </c>
      <c r="E19" s="164">
        <v>1240</v>
      </c>
      <c r="F19" s="164">
        <v>460</v>
      </c>
      <c r="G19" s="164"/>
      <c r="H19" s="164">
        <v>0</v>
      </c>
      <c r="I19" s="164">
        <v>360</v>
      </c>
      <c r="J19" s="164">
        <f t="shared" si="1"/>
        <v>130</v>
      </c>
      <c r="K19" s="164">
        <v>80</v>
      </c>
      <c r="L19" s="164">
        <v>50</v>
      </c>
      <c r="M19" s="164">
        <v>0</v>
      </c>
      <c r="N19" s="164">
        <v>70</v>
      </c>
    </row>
    <row r="20" spans="1:14" ht="20.100000000000001" customHeight="1" x14ac:dyDescent="0.25">
      <c r="A20" s="168">
        <v>10</v>
      </c>
      <c r="B20" s="169" t="s">
        <v>943</v>
      </c>
      <c r="C20" s="164">
        <f t="shared" si="3"/>
        <v>2220</v>
      </c>
      <c r="D20" s="164">
        <f t="shared" si="2"/>
        <v>2220</v>
      </c>
      <c r="E20" s="164">
        <v>1220</v>
      </c>
      <c r="F20" s="164">
        <v>500</v>
      </c>
      <c r="G20" s="164"/>
      <c r="H20" s="164">
        <v>0</v>
      </c>
      <c r="I20" s="164">
        <v>310</v>
      </c>
      <c r="J20" s="164">
        <f t="shared" si="1"/>
        <v>130</v>
      </c>
      <c r="K20" s="164">
        <v>80</v>
      </c>
      <c r="L20" s="164">
        <v>50</v>
      </c>
      <c r="M20" s="164">
        <v>0</v>
      </c>
      <c r="N20" s="164">
        <v>60</v>
      </c>
    </row>
    <row r="21" spans="1:14" ht="20.100000000000001" customHeight="1" x14ac:dyDescent="0.25">
      <c r="A21" s="168">
        <v>11</v>
      </c>
      <c r="B21" s="169" t="s">
        <v>944</v>
      </c>
      <c r="C21" s="164">
        <f t="shared" si="3"/>
        <v>370</v>
      </c>
      <c r="D21" s="164">
        <f t="shared" si="2"/>
        <v>370</v>
      </c>
      <c r="E21" s="164">
        <v>100</v>
      </c>
      <c r="F21" s="164">
        <v>50</v>
      </c>
      <c r="G21" s="164"/>
      <c r="H21" s="164">
        <v>0</v>
      </c>
      <c r="I21" s="164">
        <v>140</v>
      </c>
      <c r="J21" s="164">
        <f t="shared" si="1"/>
        <v>50</v>
      </c>
      <c r="K21" s="164">
        <v>10</v>
      </c>
      <c r="L21" s="164">
        <v>40</v>
      </c>
      <c r="M21" s="164">
        <v>0</v>
      </c>
      <c r="N21" s="164">
        <v>30</v>
      </c>
    </row>
    <row r="22" spans="1:14" ht="20.100000000000001" customHeight="1" x14ac:dyDescent="0.25">
      <c r="A22" s="168">
        <v>12</v>
      </c>
      <c r="B22" s="169" t="s">
        <v>945</v>
      </c>
      <c r="C22" s="164">
        <f t="shared" si="3"/>
        <v>1060</v>
      </c>
      <c r="D22" s="164">
        <f t="shared" si="2"/>
        <v>1060</v>
      </c>
      <c r="E22" s="164">
        <v>340</v>
      </c>
      <c r="F22" s="164">
        <v>180</v>
      </c>
      <c r="G22" s="164"/>
      <c r="H22" s="164">
        <v>0</v>
      </c>
      <c r="I22" s="164">
        <v>420</v>
      </c>
      <c r="J22" s="164">
        <f t="shared" si="1"/>
        <v>60</v>
      </c>
      <c r="K22" s="164">
        <v>20</v>
      </c>
      <c r="L22" s="164">
        <v>40</v>
      </c>
      <c r="M22" s="164">
        <v>0</v>
      </c>
      <c r="N22" s="164">
        <v>60</v>
      </c>
    </row>
    <row r="23" spans="1:14" ht="20.100000000000001" customHeight="1" x14ac:dyDescent="0.25">
      <c r="A23" s="168">
        <v>13</v>
      </c>
      <c r="B23" s="169" t="s">
        <v>946</v>
      </c>
      <c r="C23" s="164">
        <f t="shared" si="3"/>
        <v>1320</v>
      </c>
      <c r="D23" s="164">
        <f t="shared" si="2"/>
        <v>1320</v>
      </c>
      <c r="E23" s="164">
        <v>760</v>
      </c>
      <c r="F23" s="164">
        <v>300</v>
      </c>
      <c r="G23" s="164"/>
      <c r="H23" s="164">
        <v>0</v>
      </c>
      <c r="I23" s="164">
        <v>120</v>
      </c>
      <c r="J23" s="164">
        <f t="shared" si="1"/>
        <v>90</v>
      </c>
      <c r="K23" s="164">
        <v>60</v>
      </c>
      <c r="L23" s="164">
        <v>30</v>
      </c>
      <c r="M23" s="164">
        <v>0</v>
      </c>
      <c r="N23" s="164">
        <v>50</v>
      </c>
    </row>
    <row r="24" spans="1:14" ht="20.100000000000001" customHeight="1" x14ac:dyDescent="0.25">
      <c r="A24" s="168">
        <v>14</v>
      </c>
      <c r="B24" s="169" t="s">
        <v>937</v>
      </c>
      <c r="C24" s="164">
        <f t="shared" si="3"/>
        <v>1070</v>
      </c>
      <c r="D24" s="164">
        <f t="shared" si="2"/>
        <v>1070</v>
      </c>
      <c r="E24" s="164">
        <v>490</v>
      </c>
      <c r="F24" s="164">
        <v>200</v>
      </c>
      <c r="G24" s="164"/>
      <c r="H24" s="164">
        <v>0</v>
      </c>
      <c r="I24" s="164">
        <v>250</v>
      </c>
      <c r="J24" s="164">
        <f t="shared" si="1"/>
        <v>80</v>
      </c>
      <c r="K24" s="164">
        <v>20</v>
      </c>
      <c r="L24" s="164">
        <v>60</v>
      </c>
      <c r="M24" s="164">
        <v>0</v>
      </c>
      <c r="N24" s="164">
        <v>50</v>
      </c>
    </row>
    <row r="25" spans="1:14" ht="20.100000000000001" customHeight="1" x14ac:dyDescent="0.25">
      <c r="A25" s="168">
        <v>15</v>
      </c>
      <c r="B25" s="169" t="s">
        <v>947</v>
      </c>
      <c r="C25" s="164">
        <f t="shared" si="3"/>
        <v>800</v>
      </c>
      <c r="D25" s="164">
        <f t="shared" si="2"/>
        <v>800</v>
      </c>
      <c r="E25" s="164">
        <v>410</v>
      </c>
      <c r="F25" s="164">
        <v>170</v>
      </c>
      <c r="G25" s="164"/>
      <c r="H25" s="164">
        <v>0</v>
      </c>
      <c r="I25" s="164">
        <v>110</v>
      </c>
      <c r="J25" s="164">
        <f t="shared" si="1"/>
        <v>60</v>
      </c>
      <c r="K25" s="164">
        <v>30</v>
      </c>
      <c r="L25" s="164">
        <v>30</v>
      </c>
      <c r="M25" s="164">
        <v>0</v>
      </c>
      <c r="N25" s="164">
        <v>50</v>
      </c>
    </row>
    <row r="26" spans="1:14" ht="20.100000000000001" customHeight="1" x14ac:dyDescent="0.25">
      <c r="A26" s="168">
        <v>16</v>
      </c>
      <c r="B26" s="169" t="s">
        <v>948</v>
      </c>
      <c r="C26" s="164">
        <f t="shared" si="3"/>
        <v>1640</v>
      </c>
      <c r="D26" s="164">
        <f t="shared" si="2"/>
        <v>1640</v>
      </c>
      <c r="E26" s="164">
        <v>900</v>
      </c>
      <c r="F26" s="164">
        <v>360</v>
      </c>
      <c r="G26" s="164"/>
      <c r="H26" s="164">
        <v>0</v>
      </c>
      <c r="I26" s="164">
        <v>210</v>
      </c>
      <c r="J26" s="164">
        <f t="shared" si="1"/>
        <v>100</v>
      </c>
      <c r="K26" s="164">
        <v>60</v>
      </c>
      <c r="L26" s="164">
        <v>40</v>
      </c>
      <c r="M26" s="164">
        <v>0</v>
      </c>
      <c r="N26" s="164">
        <v>70</v>
      </c>
    </row>
    <row r="27" spans="1:14" ht="20.100000000000001" customHeight="1" x14ac:dyDescent="0.25">
      <c r="A27" s="168">
        <v>17</v>
      </c>
      <c r="B27" s="169" t="s">
        <v>949</v>
      </c>
      <c r="C27" s="164">
        <f t="shared" si="3"/>
        <v>1410</v>
      </c>
      <c r="D27" s="164">
        <f>SUM(E27:I27)+J27+M27+N27</f>
        <v>1410</v>
      </c>
      <c r="E27" s="164">
        <v>650</v>
      </c>
      <c r="F27" s="164">
        <v>270</v>
      </c>
      <c r="G27" s="164"/>
      <c r="H27" s="164">
        <v>0</v>
      </c>
      <c r="I27" s="164">
        <v>310</v>
      </c>
      <c r="J27" s="164">
        <f t="shared" si="1"/>
        <v>130</v>
      </c>
      <c r="K27" s="164">
        <v>60</v>
      </c>
      <c r="L27" s="164">
        <v>70</v>
      </c>
      <c r="M27" s="164">
        <v>0</v>
      </c>
      <c r="N27" s="164">
        <v>50</v>
      </c>
    </row>
    <row r="28" spans="1:14" ht="20.100000000000001" customHeight="1" x14ac:dyDescent="0.25">
      <c r="A28" s="168">
        <v>18</v>
      </c>
      <c r="B28" s="169" t="s">
        <v>950</v>
      </c>
      <c r="C28" s="164">
        <f t="shared" si="3"/>
        <v>1590</v>
      </c>
      <c r="D28" s="164">
        <f t="shared" ref="D28:D29" si="4">SUM(E28:I28)+J28+M28+N28</f>
        <v>1590</v>
      </c>
      <c r="E28" s="164">
        <v>640</v>
      </c>
      <c r="F28" s="164">
        <v>220</v>
      </c>
      <c r="G28" s="164"/>
      <c r="H28" s="164">
        <v>0</v>
      </c>
      <c r="I28" s="164">
        <v>510</v>
      </c>
      <c r="J28" s="164">
        <f t="shared" si="1"/>
        <v>140</v>
      </c>
      <c r="K28" s="164">
        <v>60</v>
      </c>
      <c r="L28" s="164">
        <v>80</v>
      </c>
      <c r="M28" s="164">
        <v>0</v>
      </c>
      <c r="N28" s="164">
        <v>80</v>
      </c>
    </row>
    <row r="29" spans="1:14" ht="20.100000000000001" customHeight="1" x14ac:dyDescent="0.25">
      <c r="A29" s="168">
        <v>19</v>
      </c>
      <c r="B29" s="169" t="s">
        <v>951</v>
      </c>
      <c r="C29" s="164">
        <f t="shared" si="3"/>
        <v>420</v>
      </c>
      <c r="D29" s="164">
        <f t="shared" si="4"/>
        <v>420</v>
      </c>
      <c r="E29" s="164">
        <v>60</v>
      </c>
      <c r="F29" s="164">
        <v>50</v>
      </c>
      <c r="G29" s="164"/>
      <c r="H29" s="164">
        <v>0</v>
      </c>
      <c r="I29" s="164">
        <v>240</v>
      </c>
      <c r="J29" s="164">
        <f t="shared" si="1"/>
        <v>40</v>
      </c>
      <c r="K29" s="164">
        <v>10</v>
      </c>
      <c r="L29" s="164">
        <v>30</v>
      </c>
      <c r="M29" s="164">
        <v>0</v>
      </c>
      <c r="N29" s="164">
        <v>30</v>
      </c>
    </row>
  </sheetData>
  <mergeCells count="17">
    <mergeCell ref="J7:L7"/>
    <mergeCell ref="G7:G8"/>
    <mergeCell ref="F7:F8"/>
    <mergeCell ref="L1:N1"/>
    <mergeCell ref="L5:N5"/>
    <mergeCell ref="A2:N2"/>
    <mergeCell ref="D6:D8"/>
    <mergeCell ref="C6:C8"/>
    <mergeCell ref="A6:A8"/>
    <mergeCell ref="M7:M8"/>
    <mergeCell ref="E7:E8"/>
    <mergeCell ref="A4:N4"/>
    <mergeCell ref="B6:B8"/>
    <mergeCell ref="A3:N3"/>
    <mergeCell ref="N7:N8"/>
    <mergeCell ref="H7:I7"/>
    <mergeCell ref="E6:N6"/>
  </mergeCells>
  <printOptions horizontalCentered="1"/>
  <pageMargins left="0.24" right="0.118110236220472" top="0.15748031496063" bottom="0.15748031496063" header="0.31496062992126" footer="0.31496062992126"/>
  <pageSetup paperSize="9" scale="83" orientation="landscape" verticalDpi="0" r:id="rId1"/>
  <headerFooter>
    <oddFooter>&amp;F</oddFooter>
  </headerFooter>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0000"/>
  </sheetPr>
  <dimension ref="A1:R45"/>
  <sheetViews>
    <sheetView workbookViewId="0">
      <selection activeCell="C9" sqref="C9"/>
    </sheetView>
  </sheetViews>
  <sheetFormatPr defaultRowHeight="15" x14ac:dyDescent="0.25"/>
  <cols>
    <col min="1" max="1" width="6.28515625" customWidth="1"/>
    <col min="2" max="2" width="58.5703125" customWidth="1"/>
    <col min="3" max="3" width="16" customWidth="1"/>
    <col min="4" max="4" width="14.28515625" customWidth="1"/>
    <col min="5" max="5" width="15.140625" customWidth="1"/>
    <col min="7" max="7" width="9.5703125" bestFit="1" customWidth="1"/>
  </cols>
  <sheetData>
    <row r="1" spans="1:18" ht="15.75" x14ac:dyDescent="0.25">
      <c r="A1" s="137"/>
      <c r="B1" s="137"/>
      <c r="C1" s="137"/>
      <c r="D1" s="414" t="s">
        <v>365</v>
      </c>
      <c r="E1" s="414"/>
    </row>
    <row r="2" spans="1:18" ht="41.25" customHeight="1" x14ac:dyDescent="0.25">
      <c r="A2" s="448" t="s">
        <v>1293</v>
      </c>
      <c r="B2" s="448"/>
      <c r="C2" s="448"/>
      <c r="D2" s="448"/>
      <c r="E2" s="448"/>
    </row>
    <row r="3" spans="1:18" ht="16.5" customHeight="1" x14ac:dyDescent="0.25">
      <c r="A3" s="443" t="s">
        <v>1506</v>
      </c>
      <c r="B3" s="443"/>
      <c r="C3" s="443"/>
      <c r="D3" s="443"/>
      <c r="E3" s="443"/>
      <c r="F3" s="158"/>
      <c r="G3" s="158"/>
      <c r="H3" s="158"/>
      <c r="I3" s="158"/>
      <c r="J3" s="158"/>
      <c r="K3" s="158"/>
      <c r="L3" s="158"/>
      <c r="M3" s="158"/>
      <c r="N3" s="158"/>
    </row>
    <row r="4" spans="1:18" ht="16.5" hidden="1" x14ac:dyDescent="0.25">
      <c r="A4" s="443" t="s">
        <v>1283</v>
      </c>
      <c r="B4" s="443"/>
      <c r="C4" s="443"/>
      <c r="D4" s="443"/>
      <c r="E4" s="443"/>
    </row>
    <row r="5" spans="1:18" ht="15.75" hidden="1" customHeight="1" x14ac:dyDescent="0.25">
      <c r="A5" s="443" t="s">
        <v>1283</v>
      </c>
      <c r="B5" s="443"/>
      <c r="C5" s="443"/>
      <c r="D5" s="443"/>
      <c r="E5" s="443"/>
      <c r="F5" s="158"/>
      <c r="G5" s="158"/>
      <c r="H5" s="158"/>
      <c r="I5" s="158"/>
      <c r="J5" s="158"/>
      <c r="K5" s="158"/>
      <c r="L5" s="158"/>
      <c r="M5" s="158"/>
      <c r="N5" s="158"/>
      <c r="O5" s="158"/>
      <c r="P5" s="158"/>
      <c r="Q5" s="158"/>
      <c r="R5" s="158"/>
    </row>
    <row r="6" spans="1:18" ht="15.75" x14ac:dyDescent="0.25">
      <c r="A6" s="162"/>
      <c r="B6" s="162"/>
      <c r="C6" s="162"/>
      <c r="D6" s="162"/>
      <c r="E6" s="26" t="s">
        <v>56</v>
      </c>
    </row>
    <row r="7" spans="1:18" ht="15.75" x14ac:dyDescent="0.25">
      <c r="A7" s="449" t="s">
        <v>3</v>
      </c>
      <c r="B7" s="449" t="s">
        <v>4</v>
      </c>
      <c r="C7" s="449" t="s">
        <v>488</v>
      </c>
      <c r="D7" s="449" t="s">
        <v>469</v>
      </c>
      <c r="E7" s="449"/>
    </row>
    <row r="8" spans="1:18" ht="57" customHeight="1" x14ac:dyDescent="0.25">
      <c r="A8" s="449"/>
      <c r="B8" s="449"/>
      <c r="C8" s="449"/>
      <c r="D8" s="29" t="s">
        <v>969</v>
      </c>
      <c r="E8" s="29" t="s">
        <v>970</v>
      </c>
    </row>
    <row r="9" spans="1:18" ht="15.75" x14ac:dyDescent="0.25">
      <c r="A9" s="29" t="s">
        <v>15</v>
      </c>
      <c r="B9" s="29" t="s">
        <v>16</v>
      </c>
      <c r="C9" s="29" t="s">
        <v>489</v>
      </c>
      <c r="D9" s="29">
        <v>2</v>
      </c>
      <c r="E9" s="29">
        <v>3</v>
      </c>
      <c r="H9" s="67" t="e">
        <f>C10-659172</f>
        <v>#REF!</v>
      </c>
    </row>
    <row r="10" spans="1:18" ht="15.75" x14ac:dyDescent="0.25">
      <c r="A10" s="29"/>
      <c r="B10" s="30" t="s">
        <v>90</v>
      </c>
      <c r="C10" s="66" t="e">
        <f>C11+C34+C42</f>
        <v>#REF!</v>
      </c>
      <c r="D10" s="66" t="e">
        <f>D11+D34+D42</f>
        <v>#REF!</v>
      </c>
      <c r="E10" s="66">
        <f>E11+E34+E42</f>
        <v>105502.248968</v>
      </c>
      <c r="G10" s="67" t="e">
        <f>C10-669466</f>
        <v>#REF!</v>
      </c>
    </row>
    <row r="11" spans="1:18" ht="15.75" x14ac:dyDescent="0.25">
      <c r="A11" s="29" t="s">
        <v>15</v>
      </c>
      <c r="B11" s="30" t="s">
        <v>390</v>
      </c>
      <c r="C11" s="66">
        <f>C12+C25+C29+C30+C32+C33+C31</f>
        <v>585730.66486879997</v>
      </c>
      <c r="D11" s="66">
        <f>D12+D25+D29+D30+D32+D33+D31</f>
        <v>480228.41590080009</v>
      </c>
      <c r="E11" s="66">
        <f t="shared" ref="E11" si="0">E12+E25+E29+E30+E32+E33</f>
        <v>105502.248968</v>
      </c>
    </row>
    <row r="12" spans="1:18" ht="15.75" x14ac:dyDescent="0.25">
      <c r="A12" s="29" t="s">
        <v>83</v>
      </c>
      <c r="B12" s="30" t="s">
        <v>604</v>
      </c>
      <c r="C12" s="66">
        <f>C13+C23+C24</f>
        <v>23245</v>
      </c>
      <c r="D12" s="66">
        <f>D13+D23+D24</f>
        <v>23245</v>
      </c>
      <c r="E12" s="66"/>
    </row>
    <row r="13" spans="1:18" ht="15.75" x14ac:dyDescent="0.25">
      <c r="A13" s="28">
        <v>1</v>
      </c>
      <c r="B13" s="31" t="s">
        <v>391</v>
      </c>
      <c r="C13" s="65">
        <f>D13+E13</f>
        <v>23245</v>
      </c>
      <c r="D13" s="65">
        <f>'PL 01'!C29</f>
        <v>23245</v>
      </c>
      <c r="E13" s="65">
        <v>0</v>
      </c>
    </row>
    <row r="14" spans="1:18" ht="15.75" x14ac:dyDescent="0.25">
      <c r="A14" s="28"/>
      <c r="B14" s="32" t="s">
        <v>392</v>
      </c>
      <c r="C14" s="65"/>
      <c r="D14" s="65"/>
      <c r="E14" s="65"/>
    </row>
    <row r="15" spans="1:18" ht="15.75" x14ac:dyDescent="0.25">
      <c r="A15" s="28" t="s">
        <v>22</v>
      </c>
      <c r="B15" s="32" t="s">
        <v>393</v>
      </c>
      <c r="C15" s="65"/>
      <c r="D15" s="65"/>
      <c r="E15" s="65"/>
    </row>
    <row r="16" spans="1:18" ht="15.75" x14ac:dyDescent="0.25">
      <c r="A16" s="28" t="s">
        <v>22</v>
      </c>
      <c r="B16" s="32" t="s">
        <v>1091</v>
      </c>
      <c r="C16" s="65"/>
      <c r="D16" s="65"/>
      <c r="E16" s="65"/>
    </row>
    <row r="17" spans="1:7" ht="15.75" x14ac:dyDescent="0.25">
      <c r="A17" s="28" t="s">
        <v>22</v>
      </c>
      <c r="B17" s="32" t="s">
        <v>1092</v>
      </c>
      <c r="C17" s="65"/>
      <c r="D17" s="65"/>
      <c r="E17" s="65"/>
    </row>
    <row r="18" spans="1:7" ht="15.75" x14ac:dyDescent="0.25">
      <c r="A18" s="28" t="s">
        <v>22</v>
      </c>
      <c r="B18" s="32" t="s">
        <v>1093</v>
      </c>
      <c r="C18" s="65"/>
      <c r="D18" s="65"/>
      <c r="E18" s="65"/>
    </row>
    <row r="19" spans="1:7" ht="15.75" x14ac:dyDescent="0.25">
      <c r="A19" s="28" t="s">
        <v>22</v>
      </c>
      <c r="B19" s="32" t="s">
        <v>1094</v>
      </c>
      <c r="C19" s="65"/>
      <c r="D19" s="65"/>
      <c r="E19" s="65"/>
    </row>
    <row r="20" spans="1:7" ht="15.75" x14ac:dyDescent="0.25">
      <c r="A20" s="28"/>
      <c r="B20" s="32" t="s">
        <v>395</v>
      </c>
      <c r="C20" s="65"/>
      <c r="D20" s="65"/>
      <c r="E20" s="65"/>
    </row>
    <row r="21" spans="1:7" ht="15.75" x14ac:dyDescent="0.25">
      <c r="A21" s="28" t="s">
        <v>22</v>
      </c>
      <c r="B21" s="32" t="s">
        <v>396</v>
      </c>
      <c r="C21" s="65"/>
      <c r="D21" s="65"/>
      <c r="E21" s="65"/>
    </row>
    <row r="22" spans="1:7" ht="15.75" x14ac:dyDescent="0.25">
      <c r="A22" s="28" t="s">
        <v>22</v>
      </c>
      <c r="B22" s="32" t="s">
        <v>494</v>
      </c>
      <c r="C22" s="65"/>
      <c r="D22" s="65"/>
      <c r="E22" s="65"/>
    </row>
    <row r="23" spans="1:7" ht="63" x14ac:dyDescent="0.25">
      <c r="A23" s="28">
        <v>2</v>
      </c>
      <c r="B23" s="31" t="s">
        <v>398</v>
      </c>
      <c r="C23" s="65"/>
      <c r="D23" s="65"/>
      <c r="E23" s="65"/>
    </row>
    <row r="24" spans="1:7" ht="15.75" x14ac:dyDescent="0.25">
      <c r="A24" s="28">
        <v>3</v>
      </c>
      <c r="B24" s="31" t="s">
        <v>1286</v>
      </c>
      <c r="C24" s="65">
        <f>D24+E24</f>
        <v>0</v>
      </c>
      <c r="D24" s="65"/>
      <c r="E24" s="65"/>
    </row>
    <row r="25" spans="1:7" ht="15.75" x14ac:dyDescent="0.25">
      <c r="A25" s="29" t="s">
        <v>70</v>
      </c>
      <c r="B25" s="30" t="s">
        <v>96</v>
      </c>
      <c r="C25" s="66">
        <f>D25+E25</f>
        <v>542950.02724868001</v>
      </c>
      <c r="D25" s="66">
        <f>'PL 01'!C36</f>
        <v>437782.37828068004</v>
      </c>
      <c r="E25" s="66">
        <f>'PL 06'!C10</f>
        <v>105167.64896799999</v>
      </c>
    </row>
    <row r="26" spans="1:7" ht="15.75" x14ac:dyDescent="0.25">
      <c r="A26" s="28"/>
      <c r="B26" s="32" t="s">
        <v>134</v>
      </c>
      <c r="C26" s="65">
        <f t="shared" ref="C26:C28" si="1">D26+E26</f>
        <v>0</v>
      </c>
      <c r="D26" s="65"/>
      <c r="E26" s="65"/>
    </row>
    <row r="27" spans="1:7" ht="15.75" x14ac:dyDescent="0.25">
      <c r="A27" s="28">
        <v>1</v>
      </c>
      <c r="B27" s="32" t="s">
        <v>393</v>
      </c>
      <c r="C27" s="65">
        <f t="shared" si="1"/>
        <v>314558.97913108004</v>
      </c>
      <c r="D27" s="65">
        <f>'PL 01'!C41+'PL 01'!C42</f>
        <v>314558.97913108004</v>
      </c>
      <c r="E27" s="65"/>
    </row>
    <row r="28" spans="1:7" ht="15.75" x14ac:dyDescent="0.25">
      <c r="A28" s="28">
        <v>2</v>
      </c>
      <c r="B28" s="32" t="s">
        <v>421</v>
      </c>
      <c r="C28" s="65">
        <f t="shared" si="1"/>
        <v>560</v>
      </c>
      <c r="D28" s="65">
        <f>'PL 01'!C39</f>
        <v>560</v>
      </c>
      <c r="E28" s="65"/>
    </row>
    <row r="29" spans="1:7" ht="15.75" x14ac:dyDescent="0.25">
      <c r="A29" s="29" t="s">
        <v>73</v>
      </c>
      <c r="B29" s="30" t="s">
        <v>407</v>
      </c>
      <c r="C29" s="65"/>
      <c r="D29" s="65"/>
      <c r="E29" s="65"/>
    </row>
    <row r="30" spans="1:7" ht="15.75" x14ac:dyDescent="0.25">
      <c r="A30" s="29" t="s">
        <v>77</v>
      </c>
      <c r="B30" s="30" t="s">
        <v>408</v>
      </c>
      <c r="C30" s="65"/>
      <c r="D30" s="65"/>
      <c r="E30" s="65"/>
    </row>
    <row r="31" spans="1:7" s="85" customFormat="1" ht="15.75" x14ac:dyDescent="0.25">
      <c r="A31" s="29" t="s">
        <v>113</v>
      </c>
      <c r="B31" s="30" t="s">
        <v>1148</v>
      </c>
      <c r="C31" s="66">
        <f>D31</f>
        <v>3800</v>
      </c>
      <c r="D31" s="66">
        <f>'PL 01'!C80</f>
        <v>3800</v>
      </c>
      <c r="E31" s="66"/>
    </row>
    <row r="32" spans="1:7" ht="15.75" x14ac:dyDescent="0.25">
      <c r="A32" s="29" t="s">
        <v>400</v>
      </c>
      <c r="B32" s="30" t="s">
        <v>247</v>
      </c>
      <c r="C32" s="66">
        <f>D32+E32</f>
        <v>12114.247020640001</v>
      </c>
      <c r="D32" s="66">
        <f>'PL 01'!C81</f>
        <v>11779.647020640001</v>
      </c>
      <c r="E32" s="66">
        <f>'PL 06'!C37</f>
        <v>334.6</v>
      </c>
      <c r="G32">
        <v>12249</v>
      </c>
    </row>
    <row r="33" spans="1:8" ht="15.75" x14ac:dyDescent="0.25">
      <c r="A33" s="29" t="s">
        <v>620</v>
      </c>
      <c r="B33" s="30" t="s">
        <v>98</v>
      </c>
      <c r="C33" s="66">
        <f>D33+E33</f>
        <v>3621.3905994800039</v>
      </c>
      <c r="D33" s="66">
        <f>'PL 01'!C79</f>
        <v>3621.3905994800039</v>
      </c>
      <c r="E33" s="66"/>
    </row>
    <row r="34" spans="1:8" ht="15.75" x14ac:dyDescent="0.25">
      <c r="A34" s="29" t="s">
        <v>16</v>
      </c>
      <c r="B34" s="30" t="s">
        <v>401</v>
      </c>
      <c r="C34" s="66" t="e">
        <f>C35+C39</f>
        <v>#REF!</v>
      </c>
      <c r="D34" s="66" t="e">
        <f>D35+D39</f>
        <v>#REF!</v>
      </c>
      <c r="E34" s="66">
        <f t="shared" ref="E34" si="2">E35+E39</f>
        <v>0</v>
      </c>
    </row>
    <row r="35" spans="1:8" ht="15.75" x14ac:dyDescent="0.25">
      <c r="A35" s="29" t="s">
        <v>83</v>
      </c>
      <c r="B35" s="30" t="s">
        <v>249</v>
      </c>
      <c r="C35" s="66">
        <f>C36</f>
        <v>0</v>
      </c>
      <c r="D35" s="66">
        <f>D36</f>
        <v>0</v>
      </c>
      <c r="E35" s="66"/>
    </row>
    <row r="36" spans="1:8" ht="15.75" x14ac:dyDescent="0.25">
      <c r="A36" s="28"/>
      <c r="B36" s="31" t="s">
        <v>1233</v>
      </c>
      <c r="C36" s="65">
        <f>SUM(C37:C38)</f>
        <v>0</v>
      </c>
      <c r="D36" s="65">
        <f>SUM(D37:D38)</f>
        <v>0</v>
      </c>
      <c r="E36" s="65"/>
    </row>
    <row r="37" spans="1:8" ht="15.75" x14ac:dyDescent="0.25">
      <c r="A37" s="28"/>
      <c r="B37" s="31" t="s">
        <v>1234</v>
      </c>
      <c r="C37" s="65">
        <f t="shared" ref="C37:C42" si="3">D37+E37</f>
        <v>0</v>
      </c>
      <c r="D37" s="65"/>
      <c r="E37" s="65"/>
    </row>
    <row r="38" spans="1:8" ht="15.75" x14ac:dyDescent="0.25">
      <c r="A38" s="28"/>
      <c r="B38" s="31" t="s">
        <v>1235</v>
      </c>
      <c r="C38" s="65">
        <f t="shared" si="3"/>
        <v>0</v>
      </c>
      <c r="D38" s="65"/>
      <c r="E38" s="65"/>
    </row>
    <row r="39" spans="1:8" ht="15.75" x14ac:dyDescent="0.25">
      <c r="A39" s="29" t="s">
        <v>70</v>
      </c>
      <c r="B39" s="30" t="s">
        <v>606</v>
      </c>
      <c r="C39" s="66" t="e">
        <f>C41+C40</f>
        <v>#REF!</v>
      </c>
      <c r="D39" s="66" t="e">
        <f>D40+D41</f>
        <v>#REF!</v>
      </c>
      <c r="E39" s="66">
        <f>E41+E40</f>
        <v>0</v>
      </c>
      <c r="H39" s="67"/>
    </row>
    <row r="40" spans="1:8" ht="15.75" x14ac:dyDescent="0.25">
      <c r="A40" s="28"/>
      <c r="B40" s="31" t="s">
        <v>971</v>
      </c>
      <c r="C40" s="65">
        <f t="shared" si="3"/>
        <v>134703.79999999999</v>
      </c>
      <c r="D40" s="65">
        <f>'PL 01'!C54</f>
        <v>134703.79999999999</v>
      </c>
      <c r="E40" s="65"/>
    </row>
    <row r="41" spans="1:8" ht="15.75" x14ac:dyDescent="0.25">
      <c r="A41" s="28"/>
      <c r="B41" s="31" t="s">
        <v>1303</v>
      </c>
      <c r="C41" s="65" t="e">
        <f t="shared" si="3"/>
        <v>#REF!</v>
      </c>
      <c r="D41" s="65" t="e">
        <f>'PL 01'!#REF!</f>
        <v>#REF!</v>
      </c>
      <c r="E41" s="65"/>
    </row>
    <row r="42" spans="1:8" ht="15.75" x14ac:dyDescent="0.25">
      <c r="A42" s="29" t="s">
        <v>79</v>
      </c>
      <c r="B42" s="30" t="s">
        <v>422</v>
      </c>
      <c r="C42" s="65">
        <f t="shared" si="3"/>
        <v>0</v>
      </c>
      <c r="D42" s="65"/>
      <c r="E42" s="65"/>
    </row>
    <row r="43" spans="1:8" ht="15.75" x14ac:dyDescent="0.25">
      <c r="A43" s="27" t="s">
        <v>595</v>
      </c>
    </row>
    <row r="44" spans="1:8" ht="72.75" customHeight="1" x14ac:dyDescent="0.25">
      <c r="A44" s="447" t="s">
        <v>119</v>
      </c>
      <c r="B44" s="447"/>
      <c r="C44" s="447"/>
      <c r="D44" s="447"/>
      <c r="E44" s="447"/>
    </row>
    <row r="45" spans="1:8" ht="45" customHeight="1" x14ac:dyDescent="0.25">
      <c r="A45" s="447" t="s">
        <v>513</v>
      </c>
      <c r="B45" s="447"/>
      <c r="C45" s="447"/>
      <c r="D45" s="447"/>
      <c r="E45" s="447"/>
    </row>
  </sheetData>
  <mergeCells count="11">
    <mergeCell ref="D1:E1"/>
    <mergeCell ref="A2:E2"/>
    <mergeCell ref="A44:E44"/>
    <mergeCell ref="A45:E45"/>
    <mergeCell ref="A7:A8"/>
    <mergeCell ref="B7:B8"/>
    <mergeCell ref="C7:C8"/>
    <mergeCell ref="D7:E7"/>
    <mergeCell ref="A5:E5"/>
    <mergeCell ref="A3:E3"/>
    <mergeCell ref="A4:E4"/>
  </mergeCells>
  <printOptions horizontalCentered="1"/>
  <pageMargins left="0.11811023622047245" right="0.11811023622047245" top="0.15748031496062992" bottom="0.15748031496062992" header="0.31496062992125984" footer="0.31496062992125984"/>
  <pageSetup paperSize="9" scale="85" orientation="portrait" verticalDpi="0"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0000"/>
  </sheetPr>
  <dimension ref="A1:C49"/>
  <sheetViews>
    <sheetView workbookViewId="0">
      <selection activeCell="C10" sqref="C10"/>
    </sheetView>
  </sheetViews>
  <sheetFormatPr defaultRowHeight="15" x14ac:dyDescent="0.25"/>
  <cols>
    <col min="1" max="1" width="5.42578125" customWidth="1"/>
    <col min="2" max="2" width="65.7109375" customWidth="1"/>
    <col min="3" max="3" width="16.140625" customWidth="1"/>
  </cols>
  <sheetData>
    <row r="1" spans="1:3" ht="15.75" x14ac:dyDescent="0.25">
      <c r="C1" s="25" t="s">
        <v>607</v>
      </c>
    </row>
    <row r="2" spans="1:3" ht="19.5" customHeight="1" x14ac:dyDescent="0.25">
      <c r="A2" s="414" t="s">
        <v>608</v>
      </c>
      <c r="B2" s="414"/>
      <c r="C2" s="414"/>
    </row>
    <row r="3" spans="1:3" ht="15.75" x14ac:dyDescent="0.25">
      <c r="A3" s="414" t="s">
        <v>126</v>
      </c>
      <c r="B3" s="414"/>
      <c r="C3" s="414"/>
    </row>
    <row r="4" spans="1:3" ht="15.75" x14ac:dyDescent="0.25">
      <c r="C4" s="26" t="s">
        <v>56</v>
      </c>
    </row>
    <row r="5" spans="1:3" ht="33" customHeight="1" x14ac:dyDescent="0.25">
      <c r="A5" s="29" t="s">
        <v>3</v>
      </c>
      <c r="B5" s="29" t="s">
        <v>4</v>
      </c>
      <c r="C5" s="29" t="s">
        <v>977</v>
      </c>
    </row>
    <row r="6" spans="1:3" ht="15.75" x14ac:dyDescent="0.25">
      <c r="A6" s="29" t="s">
        <v>15</v>
      </c>
      <c r="B6" s="29" t="s">
        <v>16</v>
      </c>
      <c r="C6" s="29">
        <v>1</v>
      </c>
    </row>
    <row r="7" spans="1:3" ht="15.75" x14ac:dyDescent="0.25">
      <c r="A7" s="29"/>
      <c r="B7" s="30" t="s">
        <v>90</v>
      </c>
      <c r="C7" s="28"/>
    </row>
    <row r="8" spans="1:3" ht="24.75" customHeight="1" x14ac:dyDescent="0.25">
      <c r="A8" s="29" t="s">
        <v>15</v>
      </c>
      <c r="B8" s="30" t="s">
        <v>498</v>
      </c>
      <c r="C8" s="28"/>
    </row>
    <row r="9" spans="1:3" ht="27" customHeight="1" x14ac:dyDescent="0.25">
      <c r="A9" s="29" t="s">
        <v>16</v>
      </c>
      <c r="B9" s="30" t="s">
        <v>499</v>
      </c>
      <c r="C9" s="28"/>
    </row>
    <row r="10" spans="1:3" ht="15.75" x14ac:dyDescent="0.25">
      <c r="A10" s="29" t="s">
        <v>83</v>
      </c>
      <c r="B10" s="30" t="s">
        <v>610</v>
      </c>
      <c r="C10" s="28"/>
    </row>
    <row r="11" spans="1:3" ht="15.75" x14ac:dyDescent="0.25">
      <c r="A11" s="28">
        <v>1</v>
      </c>
      <c r="B11" s="31" t="s">
        <v>391</v>
      </c>
      <c r="C11" s="28"/>
    </row>
    <row r="12" spans="1:3" ht="15.75" x14ac:dyDescent="0.25">
      <c r="A12" s="28" t="s">
        <v>22</v>
      </c>
      <c r="B12" s="31" t="s">
        <v>393</v>
      </c>
      <c r="C12" s="28"/>
    </row>
    <row r="13" spans="1:3" ht="15.75" x14ac:dyDescent="0.25">
      <c r="A13" s="28" t="s">
        <v>22</v>
      </c>
      <c r="B13" s="31" t="s">
        <v>394</v>
      </c>
      <c r="C13" s="28"/>
    </row>
    <row r="14" spans="1:3" ht="15.75" x14ac:dyDescent="0.25">
      <c r="A14" s="28" t="s">
        <v>22</v>
      </c>
      <c r="B14" s="31" t="s">
        <v>501</v>
      </c>
      <c r="C14" s="28"/>
    </row>
    <row r="15" spans="1:3" ht="15.75" x14ac:dyDescent="0.25">
      <c r="A15" s="28" t="s">
        <v>22</v>
      </c>
      <c r="B15" s="31" t="s">
        <v>502</v>
      </c>
      <c r="C15" s="28"/>
    </row>
    <row r="16" spans="1:3" ht="15.75" x14ac:dyDescent="0.25">
      <c r="A16" s="28" t="s">
        <v>22</v>
      </c>
      <c r="B16" s="31" t="s">
        <v>503</v>
      </c>
      <c r="C16" s="28"/>
    </row>
    <row r="17" spans="1:3" ht="15.75" x14ac:dyDescent="0.25">
      <c r="A17" s="28" t="s">
        <v>22</v>
      </c>
      <c r="B17" s="31" t="s">
        <v>504</v>
      </c>
      <c r="C17" s="28"/>
    </row>
    <row r="18" spans="1:3" ht="15.75" x14ac:dyDescent="0.25">
      <c r="A18" s="28" t="s">
        <v>22</v>
      </c>
      <c r="B18" s="31" t="s">
        <v>505</v>
      </c>
      <c r="C18" s="28"/>
    </row>
    <row r="19" spans="1:3" ht="15.75" x14ac:dyDescent="0.25">
      <c r="A19" s="28" t="s">
        <v>22</v>
      </c>
      <c r="B19" s="31" t="s">
        <v>506</v>
      </c>
      <c r="C19" s="28"/>
    </row>
    <row r="20" spans="1:3" ht="15.75" x14ac:dyDescent="0.25">
      <c r="A20" s="28" t="s">
        <v>22</v>
      </c>
      <c r="B20" s="31" t="s">
        <v>507</v>
      </c>
      <c r="C20" s="28"/>
    </row>
    <row r="21" spans="1:3" ht="15.75" x14ac:dyDescent="0.25">
      <c r="A21" s="28" t="s">
        <v>22</v>
      </c>
      <c r="B21" s="31" t="s">
        <v>508</v>
      </c>
      <c r="C21" s="28"/>
    </row>
    <row r="22" spans="1:3" ht="15.75" x14ac:dyDescent="0.25">
      <c r="A22" s="28" t="s">
        <v>22</v>
      </c>
      <c r="B22" s="31" t="s">
        <v>611</v>
      </c>
      <c r="C22" s="28"/>
    </row>
    <row r="23" spans="1:3" ht="15.75" x14ac:dyDescent="0.25">
      <c r="A23" s="28" t="s">
        <v>22</v>
      </c>
      <c r="B23" s="31" t="s">
        <v>510</v>
      </c>
      <c r="C23" s="28"/>
    </row>
    <row r="24" spans="1:3" ht="15.75" x14ac:dyDescent="0.25">
      <c r="A24" s="28" t="s">
        <v>22</v>
      </c>
      <c r="B24" s="31" t="s">
        <v>511</v>
      </c>
      <c r="C24" s="28"/>
    </row>
    <row r="25" spans="1:3" ht="31.5" x14ac:dyDescent="0.25">
      <c r="A25" s="28">
        <v>2</v>
      </c>
      <c r="B25" s="31" t="s">
        <v>612</v>
      </c>
      <c r="C25" s="28"/>
    </row>
    <row r="26" spans="1:3" ht="15.75" x14ac:dyDescent="0.25">
      <c r="A26" s="28">
        <v>3</v>
      </c>
      <c r="B26" s="31" t="s">
        <v>399</v>
      </c>
      <c r="C26" s="28"/>
    </row>
    <row r="27" spans="1:3" ht="15.75" x14ac:dyDescent="0.25">
      <c r="A27" s="29" t="s">
        <v>70</v>
      </c>
      <c r="B27" s="30" t="s">
        <v>96</v>
      </c>
      <c r="C27" s="28"/>
    </row>
    <row r="28" spans="1:3" ht="15.75" x14ac:dyDescent="0.25">
      <c r="A28" s="28" t="s">
        <v>22</v>
      </c>
      <c r="B28" s="31" t="s">
        <v>393</v>
      </c>
      <c r="C28" s="28"/>
    </row>
    <row r="29" spans="1:3" ht="15.75" x14ac:dyDescent="0.25">
      <c r="A29" s="28" t="s">
        <v>22</v>
      </c>
      <c r="B29" s="31" t="s">
        <v>613</v>
      </c>
      <c r="C29" s="28"/>
    </row>
    <row r="30" spans="1:3" ht="15.75" x14ac:dyDescent="0.25">
      <c r="A30" s="28" t="s">
        <v>22</v>
      </c>
      <c r="B30" s="31" t="s">
        <v>501</v>
      </c>
      <c r="C30" s="28"/>
    </row>
    <row r="31" spans="1:3" ht="15.75" x14ac:dyDescent="0.25">
      <c r="A31" s="28" t="s">
        <v>22</v>
      </c>
      <c r="B31" s="31" t="s">
        <v>502</v>
      </c>
      <c r="C31" s="28"/>
    </row>
    <row r="32" spans="1:3" ht="15.75" x14ac:dyDescent="0.25">
      <c r="A32" s="28" t="s">
        <v>22</v>
      </c>
      <c r="B32" s="31" t="s">
        <v>503</v>
      </c>
      <c r="C32" s="28"/>
    </row>
    <row r="33" spans="1:3" ht="15.75" x14ac:dyDescent="0.25">
      <c r="A33" s="28" t="s">
        <v>22</v>
      </c>
      <c r="B33" s="31" t="s">
        <v>504</v>
      </c>
      <c r="C33" s="28"/>
    </row>
    <row r="34" spans="1:3" ht="15.75" x14ac:dyDescent="0.25">
      <c r="A34" s="28" t="s">
        <v>22</v>
      </c>
      <c r="B34" s="31" t="s">
        <v>505</v>
      </c>
      <c r="C34" s="28"/>
    </row>
    <row r="35" spans="1:3" ht="15.75" x14ac:dyDescent="0.25">
      <c r="A35" s="28" t="s">
        <v>22</v>
      </c>
      <c r="B35" s="31" t="s">
        <v>506</v>
      </c>
      <c r="C35" s="28"/>
    </row>
    <row r="36" spans="1:3" ht="15.75" x14ac:dyDescent="0.25">
      <c r="A36" s="28" t="s">
        <v>22</v>
      </c>
      <c r="B36" s="31" t="s">
        <v>507</v>
      </c>
      <c r="C36" s="28"/>
    </row>
    <row r="37" spans="1:3" ht="15.75" x14ac:dyDescent="0.25">
      <c r="A37" s="28" t="s">
        <v>22</v>
      </c>
      <c r="B37" s="31" t="s">
        <v>508</v>
      </c>
      <c r="C37" s="28"/>
    </row>
    <row r="38" spans="1:3" ht="15.75" x14ac:dyDescent="0.25">
      <c r="A38" s="28" t="s">
        <v>22</v>
      </c>
      <c r="B38" s="31" t="s">
        <v>509</v>
      </c>
      <c r="C38" s="28"/>
    </row>
    <row r="39" spans="1:3" ht="15.75" x14ac:dyDescent="0.25">
      <c r="A39" s="28" t="s">
        <v>22</v>
      </c>
      <c r="B39" s="31" t="s">
        <v>510</v>
      </c>
      <c r="C39" s="28"/>
    </row>
    <row r="40" spans="1:3" ht="15.75" x14ac:dyDescent="0.25">
      <c r="A40" s="28"/>
      <c r="B40" s="31" t="s">
        <v>512</v>
      </c>
      <c r="C40" s="28"/>
    </row>
    <row r="41" spans="1:3" ht="15.75" x14ac:dyDescent="0.25">
      <c r="A41" s="29" t="s">
        <v>73</v>
      </c>
      <c r="B41" s="30" t="s">
        <v>614</v>
      </c>
      <c r="C41" s="28"/>
    </row>
    <row r="42" spans="1:3" ht="15.75" x14ac:dyDescent="0.25">
      <c r="A42" s="29" t="s">
        <v>77</v>
      </c>
      <c r="B42" s="30" t="s">
        <v>615</v>
      </c>
      <c r="C42" s="28"/>
    </row>
    <row r="43" spans="1:3" ht="15.75" x14ac:dyDescent="0.25">
      <c r="A43" s="29" t="s">
        <v>113</v>
      </c>
      <c r="B43" s="30" t="s">
        <v>247</v>
      </c>
      <c r="C43" s="28"/>
    </row>
    <row r="44" spans="1:3" ht="15.75" x14ac:dyDescent="0.25">
      <c r="A44" s="29" t="s">
        <v>400</v>
      </c>
      <c r="B44" s="30" t="s">
        <v>98</v>
      </c>
      <c r="C44" s="28"/>
    </row>
    <row r="45" spans="1:3" ht="15.75" x14ac:dyDescent="0.25">
      <c r="A45" s="29" t="s">
        <v>79</v>
      </c>
      <c r="B45" s="30" t="s">
        <v>422</v>
      </c>
      <c r="C45" s="28"/>
    </row>
    <row r="46" spans="1:3" ht="25.5" customHeight="1" x14ac:dyDescent="0.25">
      <c r="A46" s="27" t="s">
        <v>595</v>
      </c>
    </row>
    <row r="47" spans="1:3" ht="24" customHeight="1" x14ac:dyDescent="0.25">
      <c r="A47" s="447" t="s">
        <v>514</v>
      </c>
      <c r="B47" s="447"/>
      <c r="C47" s="447"/>
    </row>
    <row r="48" spans="1:3" s="36" customFormat="1" ht="74.25" customHeight="1" x14ac:dyDescent="0.25">
      <c r="A48" s="447" t="s">
        <v>349</v>
      </c>
      <c r="B48" s="447"/>
      <c r="C48" s="447"/>
    </row>
    <row r="49" spans="1:3" s="36" customFormat="1" ht="55.5" customHeight="1" x14ac:dyDescent="0.25">
      <c r="A49" s="447" t="s">
        <v>616</v>
      </c>
      <c r="B49" s="447"/>
      <c r="C49" s="447"/>
    </row>
  </sheetData>
  <mergeCells count="5">
    <mergeCell ref="A2:C2"/>
    <mergeCell ref="A3:C3"/>
    <mergeCell ref="A47:C47"/>
    <mergeCell ref="A48:C48"/>
    <mergeCell ref="A49:C49"/>
  </mergeCells>
  <pageMargins left="0.7" right="0.7" top="0.75" bottom="0.75" header="0.3" footer="0.3"/>
</worksheet>
</file>

<file path=xl/worksheets/sheet1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tabColor rgb="FFFF0000"/>
  </sheetPr>
  <dimension ref="A1:AT169"/>
  <sheetViews>
    <sheetView zoomScale="130" zoomScaleNormal="130" workbookViewId="0">
      <selection activeCell="F15" sqref="F15"/>
    </sheetView>
  </sheetViews>
  <sheetFormatPr defaultColWidth="9.140625" defaultRowHeight="15.95" customHeight="1" x14ac:dyDescent="0.25"/>
  <cols>
    <col min="1" max="1" width="4.5703125" style="83" customWidth="1"/>
    <col min="2" max="2" width="46.140625" style="83" customWidth="1"/>
    <col min="3" max="3" width="9.42578125" style="83" customWidth="1"/>
    <col min="4" max="4" width="7.5703125" style="83" customWidth="1"/>
    <col min="5" max="5" width="8.140625" style="83" customWidth="1"/>
    <col min="6" max="6" width="12.140625" style="181" customWidth="1"/>
    <col min="7" max="7" width="11" style="181" customWidth="1"/>
    <col min="8" max="8" width="10.5703125" style="181" customWidth="1"/>
    <col min="9" max="11" width="9.28515625" style="181" customWidth="1"/>
    <col min="12" max="12" width="8.5703125" style="138" customWidth="1"/>
    <col min="13" max="14" width="8.42578125" style="181" customWidth="1"/>
    <col min="15" max="15" width="9" style="83" customWidth="1"/>
    <col min="16" max="16" width="7.42578125" style="83" customWidth="1"/>
    <col min="17" max="17" width="13.85546875" style="83" hidden="1" customWidth="1"/>
    <col min="18" max="18" width="9.140625" style="83" hidden="1" customWidth="1"/>
    <col min="19" max="19" width="11.7109375" style="83" hidden="1" customWidth="1"/>
    <col min="20" max="20" width="15" style="183" hidden="1" customWidth="1"/>
    <col min="21" max="21" width="16" style="83" hidden="1" customWidth="1"/>
    <col min="22" max="22" width="0" style="83" hidden="1" customWidth="1"/>
    <col min="23" max="46" width="9.140625" style="83"/>
    <col min="47" max="47" width="4.5703125" style="83" customWidth="1"/>
    <col min="48" max="48" width="46.140625" style="83" customWidth="1"/>
    <col min="49" max="49" width="9.42578125" style="83" customWidth="1"/>
    <col min="50" max="50" width="7.5703125" style="83" customWidth="1"/>
    <col min="51" max="51" width="8.140625" style="83" customWidth="1"/>
    <col min="52" max="52" width="12.140625" style="83" customWidth="1"/>
    <col min="53" max="53" width="11" style="83" customWidth="1"/>
    <col min="54" max="54" width="10.5703125" style="83" customWidth="1"/>
    <col min="55" max="57" width="9.28515625" style="83" customWidth="1"/>
    <col min="58" max="58" width="8.5703125" style="83" customWidth="1"/>
    <col min="59" max="60" width="8.42578125" style="83" customWidth="1"/>
    <col min="61" max="61" width="9" style="83" customWidth="1"/>
    <col min="62" max="62" width="7.42578125" style="83" customWidth="1"/>
    <col min="63" max="68" width="0" style="83" hidden="1" customWidth="1"/>
    <col min="69" max="69" width="13.5703125" style="83" customWidth="1"/>
    <col min="70" max="302" width="9.140625" style="83"/>
    <col min="303" max="303" width="4.5703125" style="83" customWidth="1"/>
    <col min="304" max="304" width="46.140625" style="83" customWidth="1"/>
    <col min="305" max="305" width="9.42578125" style="83" customWidth="1"/>
    <col min="306" max="306" width="7.5703125" style="83" customWidth="1"/>
    <col min="307" max="307" width="8.140625" style="83" customWidth="1"/>
    <col min="308" max="308" width="12.140625" style="83" customWidth="1"/>
    <col min="309" max="309" width="11" style="83" customWidth="1"/>
    <col min="310" max="310" width="10.5703125" style="83" customWidth="1"/>
    <col min="311" max="313" width="9.28515625" style="83" customWidth="1"/>
    <col min="314" max="314" width="8.5703125" style="83" customWidth="1"/>
    <col min="315" max="316" width="8.42578125" style="83" customWidth="1"/>
    <col min="317" max="317" width="9" style="83" customWidth="1"/>
    <col min="318" max="318" width="7.42578125" style="83" customWidth="1"/>
    <col min="319" max="324" width="0" style="83" hidden="1" customWidth="1"/>
    <col min="325" max="325" width="13.5703125" style="83" customWidth="1"/>
    <col min="326" max="558" width="9.140625" style="83"/>
    <col min="559" max="559" width="4.5703125" style="83" customWidth="1"/>
    <col min="560" max="560" width="46.140625" style="83" customWidth="1"/>
    <col min="561" max="561" width="9.42578125" style="83" customWidth="1"/>
    <col min="562" max="562" width="7.5703125" style="83" customWidth="1"/>
    <col min="563" max="563" width="8.140625" style="83" customWidth="1"/>
    <col min="564" max="564" width="12.140625" style="83" customWidth="1"/>
    <col min="565" max="565" width="11" style="83" customWidth="1"/>
    <col min="566" max="566" width="10.5703125" style="83" customWidth="1"/>
    <col min="567" max="569" width="9.28515625" style="83" customWidth="1"/>
    <col min="570" max="570" width="8.5703125" style="83" customWidth="1"/>
    <col min="571" max="572" width="8.42578125" style="83" customWidth="1"/>
    <col min="573" max="573" width="9" style="83" customWidth="1"/>
    <col min="574" max="574" width="7.42578125" style="83" customWidth="1"/>
    <col min="575" max="580" width="0" style="83" hidden="1" customWidth="1"/>
    <col min="581" max="581" width="13.5703125" style="83" customWidth="1"/>
    <col min="582" max="814" width="9.140625" style="83"/>
    <col min="815" max="815" width="4.5703125" style="83" customWidth="1"/>
    <col min="816" max="816" width="46.140625" style="83" customWidth="1"/>
    <col min="817" max="817" width="9.42578125" style="83" customWidth="1"/>
    <col min="818" max="818" width="7.5703125" style="83" customWidth="1"/>
    <col min="819" max="819" width="8.140625" style="83" customWidth="1"/>
    <col min="820" max="820" width="12.140625" style="83" customWidth="1"/>
    <col min="821" max="821" width="11" style="83" customWidth="1"/>
    <col min="822" max="822" width="10.5703125" style="83" customWidth="1"/>
    <col min="823" max="825" width="9.28515625" style="83" customWidth="1"/>
    <col min="826" max="826" width="8.5703125" style="83" customWidth="1"/>
    <col min="827" max="828" width="8.42578125" style="83" customWidth="1"/>
    <col min="829" max="829" width="9" style="83" customWidth="1"/>
    <col min="830" max="830" width="7.42578125" style="83" customWidth="1"/>
    <col min="831" max="836" width="0" style="83" hidden="1" customWidth="1"/>
    <col min="837" max="837" width="13.5703125" style="83" customWidth="1"/>
    <col min="838" max="1070" width="9.140625" style="83"/>
    <col min="1071" max="1071" width="4.5703125" style="83" customWidth="1"/>
    <col min="1072" max="1072" width="46.140625" style="83" customWidth="1"/>
    <col min="1073" max="1073" width="9.42578125" style="83" customWidth="1"/>
    <col min="1074" max="1074" width="7.5703125" style="83" customWidth="1"/>
    <col min="1075" max="1075" width="8.140625" style="83" customWidth="1"/>
    <col min="1076" max="1076" width="12.140625" style="83" customWidth="1"/>
    <col min="1077" max="1077" width="11" style="83" customWidth="1"/>
    <col min="1078" max="1078" width="10.5703125" style="83" customWidth="1"/>
    <col min="1079" max="1081" width="9.28515625" style="83" customWidth="1"/>
    <col min="1082" max="1082" width="8.5703125" style="83" customWidth="1"/>
    <col min="1083" max="1084" width="8.42578125" style="83" customWidth="1"/>
    <col min="1085" max="1085" width="9" style="83" customWidth="1"/>
    <col min="1086" max="1086" width="7.42578125" style="83" customWidth="1"/>
    <col min="1087" max="1092" width="0" style="83" hidden="1" customWidth="1"/>
    <col min="1093" max="1093" width="13.5703125" style="83" customWidth="1"/>
    <col min="1094" max="1326" width="9.140625" style="83"/>
    <col min="1327" max="1327" width="4.5703125" style="83" customWidth="1"/>
    <col min="1328" max="1328" width="46.140625" style="83" customWidth="1"/>
    <col min="1329" max="1329" width="9.42578125" style="83" customWidth="1"/>
    <col min="1330" max="1330" width="7.5703125" style="83" customWidth="1"/>
    <col min="1331" max="1331" width="8.140625" style="83" customWidth="1"/>
    <col min="1332" max="1332" width="12.140625" style="83" customWidth="1"/>
    <col min="1333" max="1333" width="11" style="83" customWidth="1"/>
    <col min="1334" max="1334" width="10.5703125" style="83" customWidth="1"/>
    <col min="1335" max="1337" width="9.28515625" style="83" customWidth="1"/>
    <col min="1338" max="1338" width="8.5703125" style="83" customWidth="1"/>
    <col min="1339" max="1340" width="8.42578125" style="83" customWidth="1"/>
    <col min="1341" max="1341" width="9" style="83" customWidth="1"/>
    <col min="1342" max="1342" width="7.42578125" style="83" customWidth="1"/>
    <col min="1343" max="1348" width="0" style="83" hidden="1" customWidth="1"/>
    <col min="1349" max="1349" width="13.5703125" style="83" customWidth="1"/>
    <col min="1350" max="1582" width="9.140625" style="83"/>
    <col min="1583" max="1583" width="4.5703125" style="83" customWidth="1"/>
    <col min="1584" max="1584" width="46.140625" style="83" customWidth="1"/>
    <col min="1585" max="1585" width="9.42578125" style="83" customWidth="1"/>
    <col min="1586" max="1586" width="7.5703125" style="83" customWidth="1"/>
    <col min="1587" max="1587" width="8.140625" style="83" customWidth="1"/>
    <col min="1588" max="1588" width="12.140625" style="83" customWidth="1"/>
    <col min="1589" max="1589" width="11" style="83" customWidth="1"/>
    <col min="1590" max="1590" width="10.5703125" style="83" customWidth="1"/>
    <col min="1591" max="1593" width="9.28515625" style="83" customWidth="1"/>
    <col min="1594" max="1594" width="8.5703125" style="83" customWidth="1"/>
    <col min="1595" max="1596" width="8.42578125" style="83" customWidth="1"/>
    <col min="1597" max="1597" width="9" style="83" customWidth="1"/>
    <col min="1598" max="1598" width="7.42578125" style="83" customWidth="1"/>
    <col min="1599" max="1604" width="0" style="83" hidden="1" customWidth="1"/>
    <col min="1605" max="1605" width="13.5703125" style="83" customWidth="1"/>
    <col min="1606" max="1838" width="9.140625" style="83"/>
    <col min="1839" max="1839" width="4.5703125" style="83" customWidth="1"/>
    <col min="1840" max="1840" width="46.140625" style="83" customWidth="1"/>
    <col min="1841" max="1841" width="9.42578125" style="83" customWidth="1"/>
    <col min="1842" max="1842" width="7.5703125" style="83" customWidth="1"/>
    <col min="1843" max="1843" width="8.140625" style="83" customWidth="1"/>
    <col min="1844" max="1844" width="12.140625" style="83" customWidth="1"/>
    <col min="1845" max="1845" width="11" style="83" customWidth="1"/>
    <col min="1846" max="1846" width="10.5703125" style="83" customWidth="1"/>
    <col min="1847" max="1849" width="9.28515625" style="83" customWidth="1"/>
    <col min="1850" max="1850" width="8.5703125" style="83" customWidth="1"/>
    <col min="1851" max="1852" width="8.42578125" style="83" customWidth="1"/>
    <col min="1853" max="1853" width="9" style="83" customWidth="1"/>
    <col min="1854" max="1854" width="7.42578125" style="83" customWidth="1"/>
    <col min="1855" max="1860" width="0" style="83" hidden="1" customWidth="1"/>
    <col min="1861" max="1861" width="13.5703125" style="83" customWidth="1"/>
    <col min="1862" max="2094" width="9.140625" style="83"/>
    <col min="2095" max="2095" width="4.5703125" style="83" customWidth="1"/>
    <col min="2096" max="2096" width="46.140625" style="83" customWidth="1"/>
    <col min="2097" max="2097" width="9.42578125" style="83" customWidth="1"/>
    <col min="2098" max="2098" width="7.5703125" style="83" customWidth="1"/>
    <col min="2099" max="2099" width="8.140625" style="83" customWidth="1"/>
    <col min="2100" max="2100" width="12.140625" style="83" customWidth="1"/>
    <col min="2101" max="2101" width="11" style="83" customWidth="1"/>
    <col min="2102" max="2102" width="10.5703125" style="83" customWidth="1"/>
    <col min="2103" max="2105" width="9.28515625" style="83" customWidth="1"/>
    <col min="2106" max="2106" width="8.5703125" style="83" customWidth="1"/>
    <col min="2107" max="2108" width="8.42578125" style="83" customWidth="1"/>
    <col min="2109" max="2109" width="9" style="83" customWidth="1"/>
    <col min="2110" max="2110" width="7.42578125" style="83" customWidth="1"/>
    <col min="2111" max="2116" width="0" style="83" hidden="1" customWidth="1"/>
    <col min="2117" max="2117" width="13.5703125" style="83" customWidth="1"/>
    <col min="2118" max="2350" width="9.140625" style="83"/>
    <col min="2351" max="2351" width="4.5703125" style="83" customWidth="1"/>
    <col min="2352" max="2352" width="46.140625" style="83" customWidth="1"/>
    <col min="2353" max="2353" width="9.42578125" style="83" customWidth="1"/>
    <col min="2354" max="2354" width="7.5703125" style="83" customWidth="1"/>
    <col min="2355" max="2355" width="8.140625" style="83" customWidth="1"/>
    <col min="2356" max="2356" width="12.140625" style="83" customWidth="1"/>
    <col min="2357" max="2357" width="11" style="83" customWidth="1"/>
    <col min="2358" max="2358" width="10.5703125" style="83" customWidth="1"/>
    <col min="2359" max="2361" width="9.28515625" style="83" customWidth="1"/>
    <col min="2362" max="2362" width="8.5703125" style="83" customWidth="1"/>
    <col min="2363" max="2364" width="8.42578125" style="83" customWidth="1"/>
    <col min="2365" max="2365" width="9" style="83" customWidth="1"/>
    <col min="2366" max="2366" width="7.42578125" style="83" customWidth="1"/>
    <col min="2367" max="2372" width="0" style="83" hidden="1" customWidth="1"/>
    <col min="2373" max="2373" width="13.5703125" style="83" customWidth="1"/>
    <col min="2374" max="2606" width="9.140625" style="83"/>
    <col min="2607" max="2607" width="4.5703125" style="83" customWidth="1"/>
    <col min="2608" max="2608" width="46.140625" style="83" customWidth="1"/>
    <col min="2609" max="2609" width="9.42578125" style="83" customWidth="1"/>
    <col min="2610" max="2610" width="7.5703125" style="83" customWidth="1"/>
    <col min="2611" max="2611" width="8.140625" style="83" customWidth="1"/>
    <col min="2612" max="2612" width="12.140625" style="83" customWidth="1"/>
    <col min="2613" max="2613" width="11" style="83" customWidth="1"/>
    <col min="2614" max="2614" width="10.5703125" style="83" customWidth="1"/>
    <col min="2615" max="2617" width="9.28515625" style="83" customWidth="1"/>
    <col min="2618" max="2618" width="8.5703125" style="83" customWidth="1"/>
    <col min="2619" max="2620" width="8.42578125" style="83" customWidth="1"/>
    <col min="2621" max="2621" width="9" style="83" customWidth="1"/>
    <col min="2622" max="2622" width="7.42578125" style="83" customWidth="1"/>
    <col min="2623" max="2628" width="0" style="83" hidden="1" customWidth="1"/>
    <col min="2629" max="2629" width="13.5703125" style="83" customWidth="1"/>
    <col min="2630" max="2862" width="9.140625" style="83"/>
    <col min="2863" max="2863" width="4.5703125" style="83" customWidth="1"/>
    <col min="2864" max="2864" width="46.140625" style="83" customWidth="1"/>
    <col min="2865" max="2865" width="9.42578125" style="83" customWidth="1"/>
    <col min="2866" max="2866" width="7.5703125" style="83" customWidth="1"/>
    <col min="2867" max="2867" width="8.140625" style="83" customWidth="1"/>
    <col min="2868" max="2868" width="12.140625" style="83" customWidth="1"/>
    <col min="2869" max="2869" width="11" style="83" customWidth="1"/>
    <col min="2870" max="2870" width="10.5703125" style="83" customWidth="1"/>
    <col min="2871" max="2873" width="9.28515625" style="83" customWidth="1"/>
    <col min="2874" max="2874" width="8.5703125" style="83" customWidth="1"/>
    <col min="2875" max="2876" width="8.42578125" style="83" customWidth="1"/>
    <col min="2877" max="2877" width="9" style="83" customWidth="1"/>
    <col min="2878" max="2878" width="7.42578125" style="83" customWidth="1"/>
    <col min="2879" max="2884" width="0" style="83" hidden="1" customWidth="1"/>
    <col min="2885" max="2885" width="13.5703125" style="83" customWidth="1"/>
    <col min="2886" max="3118" width="9.140625" style="83"/>
    <col min="3119" max="3119" width="4.5703125" style="83" customWidth="1"/>
    <col min="3120" max="3120" width="46.140625" style="83" customWidth="1"/>
    <col min="3121" max="3121" width="9.42578125" style="83" customWidth="1"/>
    <col min="3122" max="3122" width="7.5703125" style="83" customWidth="1"/>
    <col min="3123" max="3123" width="8.140625" style="83" customWidth="1"/>
    <col min="3124" max="3124" width="12.140625" style="83" customWidth="1"/>
    <col min="3125" max="3125" width="11" style="83" customWidth="1"/>
    <col min="3126" max="3126" width="10.5703125" style="83" customWidth="1"/>
    <col min="3127" max="3129" width="9.28515625" style="83" customWidth="1"/>
    <col min="3130" max="3130" width="8.5703125" style="83" customWidth="1"/>
    <col min="3131" max="3132" width="8.42578125" style="83" customWidth="1"/>
    <col min="3133" max="3133" width="9" style="83" customWidth="1"/>
    <col min="3134" max="3134" width="7.42578125" style="83" customWidth="1"/>
    <col min="3135" max="3140" width="0" style="83" hidden="1" customWidth="1"/>
    <col min="3141" max="3141" width="13.5703125" style="83" customWidth="1"/>
    <col min="3142" max="3374" width="9.140625" style="83"/>
    <col min="3375" max="3375" width="4.5703125" style="83" customWidth="1"/>
    <col min="3376" max="3376" width="46.140625" style="83" customWidth="1"/>
    <col min="3377" max="3377" width="9.42578125" style="83" customWidth="1"/>
    <col min="3378" max="3378" width="7.5703125" style="83" customWidth="1"/>
    <col min="3379" max="3379" width="8.140625" style="83" customWidth="1"/>
    <col min="3380" max="3380" width="12.140625" style="83" customWidth="1"/>
    <col min="3381" max="3381" width="11" style="83" customWidth="1"/>
    <col min="3382" max="3382" width="10.5703125" style="83" customWidth="1"/>
    <col min="3383" max="3385" width="9.28515625" style="83" customWidth="1"/>
    <col min="3386" max="3386" width="8.5703125" style="83" customWidth="1"/>
    <col min="3387" max="3388" width="8.42578125" style="83" customWidth="1"/>
    <col min="3389" max="3389" width="9" style="83" customWidth="1"/>
    <col min="3390" max="3390" width="7.42578125" style="83" customWidth="1"/>
    <col min="3391" max="3396" width="0" style="83" hidden="1" customWidth="1"/>
    <col min="3397" max="3397" width="13.5703125" style="83" customWidth="1"/>
    <col min="3398" max="3630" width="9.140625" style="83"/>
    <col min="3631" max="3631" width="4.5703125" style="83" customWidth="1"/>
    <col min="3632" max="3632" width="46.140625" style="83" customWidth="1"/>
    <col min="3633" max="3633" width="9.42578125" style="83" customWidth="1"/>
    <col min="3634" max="3634" width="7.5703125" style="83" customWidth="1"/>
    <col min="3635" max="3635" width="8.140625" style="83" customWidth="1"/>
    <col min="3636" max="3636" width="12.140625" style="83" customWidth="1"/>
    <col min="3637" max="3637" width="11" style="83" customWidth="1"/>
    <col min="3638" max="3638" width="10.5703125" style="83" customWidth="1"/>
    <col min="3639" max="3641" width="9.28515625" style="83" customWidth="1"/>
    <col min="3642" max="3642" width="8.5703125" style="83" customWidth="1"/>
    <col min="3643" max="3644" width="8.42578125" style="83" customWidth="1"/>
    <col min="3645" max="3645" width="9" style="83" customWidth="1"/>
    <col min="3646" max="3646" width="7.42578125" style="83" customWidth="1"/>
    <col min="3647" max="3652" width="0" style="83" hidden="1" customWidth="1"/>
    <col min="3653" max="3653" width="13.5703125" style="83" customWidth="1"/>
    <col min="3654" max="3886" width="9.140625" style="83"/>
    <col min="3887" max="3887" width="4.5703125" style="83" customWidth="1"/>
    <col min="3888" max="3888" width="46.140625" style="83" customWidth="1"/>
    <col min="3889" max="3889" width="9.42578125" style="83" customWidth="1"/>
    <col min="3890" max="3890" width="7.5703125" style="83" customWidth="1"/>
    <col min="3891" max="3891" width="8.140625" style="83" customWidth="1"/>
    <col min="3892" max="3892" width="12.140625" style="83" customWidth="1"/>
    <col min="3893" max="3893" width="11" style="83" customWidth="1"/>
    <col min="3894" max="3894" width="10.5703125" style="83" customWidth="1"/>
    <col min="3895" max="3897" width="9.28515625" style="83" customWidth="1"/>
    <col min="3898" max="3898" width="8.5703125" style="83" customWidth="1"/>
    <col min="3899" max="3900" width="8.42578125" style="83" customWidth="1"/>
    <col min="3901" max="3901" width="9" style="83" customWidth="1"/>
    <col min="3902" max="3902" width="7.42578125" style="83" customWidth="1"/>
    <col min="3903" max="3908" width="0" style="83" hidden="1" customWidth="1"/>
    <col min="3909" max="3909" width="13.5703125" style="83" customWidth="1"/>
    <col min="3910" max="4142" width="9.140625" style="83"/>
    <col min="4143" max="4143" width="4.5703125" style="83" customWidth="1"/>
    <col min="4144" max="4144" width="46.140625" style="83" customWidth="1"/>
    <col min="4145" max="4145" width="9.42578125" style="83" customWidth="1"/>
    <col min="4146" max="4146" width="7.5703125" style="83" customWidth="1"/>
    <col min="4147" max="4147" width="8.140625" style="83" customWidth="1"/>
    <col min="4148" max="4148" width="12.140625" style="83" customWidth="1"/>
    <col min="4149" max="4149" width="11" style="83" customWidth="1"/>
    <col min="4150" max="4150" width="10.5703125" style="83" customWidth="1"/>
    <col min="4151" max="4153" width="9.28515625" style="83" customWidth="1"/>
    <col min="4154" max="4154" width="8.5703125" style="83" customWidth="1"/>
    <col min="4155" max="4156" width="8.42578125" style="83" customWidth="1"/>
    <col min="4157" max="4157" width="9" style="83" customWidth="1"/>
    <col min="4158" max="4158" width="7.42578125" style="83" customWidth="1"/>
    <col min="4159" max="4164" width="0" style="83" hidden="1" customWidth="1"/>
    <col min="4165" max="4165" width="13.5703125" style="83" customWidth="1"/>
    <col min="4166" max="4398" width="9.140625" style="83"/>
    <col min="4399" max="4399" width="4.5703125" style="83" customWidth="1"/>
    <col min="4400" max="4400" width="46.140625" style="83" customWidth="1"/>
    <col min="4401" max="4401" width="9.42578125" style="83" customWidth="1"/>
    <col min="4402" max="4402" width="7.5703125" style="83" customWidth="1"/>
    <col min="4403" max="4403" width="8.140625" style="83" customWidth="1"/>
    <col min="4404" max="4404" width="12.140625" style="83" customWidth="1"/>
    <col min="4405" max="4405" width="11" style="83" customWidth="1"/>
    <col min="4406" max="4406" width="10.5703125" style="83" customWidth="1"/>
    <col min="4407" max="4409" width="9.28515625" style="83" customWidth="1"/>
    <col min="4410" max="4410" width="8.5703125" style="83" customWidth="1"/>
    <col min="4411" max="4412" width="8.42578125" style="83" customWidth="1"/>
    <col min="4413" max="4413" width="9" style="83" customWidth="1"/>
    <col min="4414" max="4414" width="7.42578125" style="83" customWidth="1"/>
    <col min="4415" max="4420" width="0" style="83" hidden="1" customWidth="1"/>
    <col min="4421" max="4421" width="13.5703125" style="83" customWidth="1"/>
    <col min="4422" max="4654" width="9.140625" style="83"/>
    <col min="4655" max="4655" width="4.5703125" style="83" customWidth="1"/>
    <col min="4656" max="4656" width="46.140625" style="83" customWidth="1"/>
    <col min="4657" max="4657" width="9.42578125" style="83" customWidth="1"/>
    <col min="4658" max="4658" width="7.5703125" style="83" customWidth="1"/>
    <col min="4659" max="4659" width="8.140625" style="83" customWidth="1"/>
    <col min="4660" max="4660" width="12.140625" style="83" customWidth="1"/>
    <col min="4661" max="4661" width="11" style="83" customWidth="1"/>
    <col min="4662" max="4662" width="10.5703125" style="83" customWidth="1"/>
    <col min="4663" max="4665" width="9.28515625" style="83" customWidth="1"/>
    <col min="4666" max="4666" width="8.5703125" style="83" customWidth="1"/>
    <col min="4667" max="4668" width="8.42578125" style="83" customWidth="1"/>
    <col min="4669" max="4669" width="9" style="83" customWidth="1"/>
    <col min="4670" max="4670" width="7.42578125" style="83" customWidth="1"/>
    <col min="4671" max="4676" width="0" style="83" hidden="1" customWidth="1"/>
    <col min="4677" max="4677" width="13.5703125" style="83" customWidth="1"/>
    <col min="4678" max="4910" width="9.140625" style="83"/>
    <col min="4911" max="4911" width="4.5703125" style="83" customWidth="1"/>
    <col min="4912" max="4912" width="46.140625" style="83" customWidth="1"/>
    <col min="4913" max="4913" width="9.42578125" style="83" customWidth="1"/>
    <col min="4914" max="4914" width="7.5703125" style="83" customWidth="1"/>
    <col min="4915" max="4915" width="8.140625" style="83" customWidth="1"/>
    <col min="4916" max="4916" width="12.140625" style="83" customWidth="1"/>
    <col min="4917" max="4917" width="11" style="83" customWidth="1"/>
    <col min="4918" max="4918" width="10.5703125" style="83" customWidth="1"/>
    <col min="4919" max="4921" width="9.28515625" style="83" customWidth="1"/>
    <col min="4922" max="4922" width="8.5703125" style="83" customWidth="1"/>
    <col min="4923" max="4924" width="8.42578125" style="83" customWidth="1"/>
    <col min="4925" max="4925" width="9" style="83" customWidth="1"/>
    <col min="4926" max="4926" width="7.42578125" style="83" customWidth="1"/>
    <col min="4927" max="4932" width="0" style="83" hidden="1" customWidth="1"/>
    <col min="4933" max="4933" width="13.5703125" style="83" customWidth="1"/>
    <col min="4934" max="5166" width="9.140625" style="83"/>
    <col min="5167" max="5167" width="4.5703125" style="83" customWidth="1"/>
    <col min="5168" max="5168" width="46.140625" style="83" customWidth="1"/>
    <col min="5169" max="5169" width="9.42578125" style="83" customWidth="1"/>
    <col min="5170" max="5170" width="7.5703125" style="83" customWidth="1"/>
    <col min="5171" max="5171" width="8.140625" style="83" customWidth="1"/>
    <col min="5172" max="5172" width="12.140625" style="83" customWidth="1"/>
    <col min="5173" max="5173" width="11" style="83" customWidth="1"/>
    <col min="5174" max="5174" width="10.5703125" style="83" customWidth="1"/>
    <col min="5175" max="5177" width="9.28515625" style="83" customWidth="1"/>
    <col min="5178" max="5178" width="8.5703125" style="83" customWidth="1"/>
    <col min="5179" max="5180" width="8.42578125" style="83" customWidth="1"/>
    <col min="5181" max="5181" width="9" style="83" customWidth="1"/>
    <col min="5182" max="5182" width="7.42578125" style="83" customWidth="1"/>
    <col min="5183" max="5188" width="0" style="83" hidden="1" customWidth="1"/>
    <col min="5189" max="5189" width="13.5703125" style="83" customWidth="1"/>
    <col min="5190" max="5422" width="9.140625" style="83"/>
    <col min="5423" max="5423" width="4.5703125" style="83" customWidth="1"/>
    <col min="5424" max="5424" width="46.140625" style="83" customWidth="1"/>
    <col min="5425" max="5425" width="9.42578125" style="83" customWidth="1"/>
    <col min="5426" max="5426" width="7.5703125" style="83" customWidth="1"/>
    <col min="5427" max="5427" width="8.140625" style="83" customWidth="1"/>
    <col min="5428" max="5428" width="12.140625" style="83" customWidth="1"/>
    <col min="5429" max="5429" width="11" style="83" customWidth="1"/>
    <col min="5430" max="5430" width="10.5703125" style="83" customWidth="1"/>
    <col min="5431" max="5433" width="9.28515625" style="83" customWidth="1"/>
    <col min="5434" max="5434" width="8.5703125" style="83" customWidth="1"/>
    <col min="5435" max="5436" width="8.42578125" style="83" customWidth="1"/>
    <col min="5437" max="5437" width="9" style="83" customWidth="1"/>
    <col min="5438" max="5438" width="7.42578125" style="83" customWidth="1"/>
    <col min="5439" max="5444" width="0" style="83" hidden="1" customWidth="1"/>
    <col min="5445" max="5445" width="13.5703125" style="83" customWidth="1"/>
    <col min="5446" max="5678" width="9.140625" style="83"/>
    <col min="5679" max="5679" width="4.5703125" style="83" customWidth="1"/>
    <col min="5680" max="5680" width="46.140625" style="83" customWidth="1"/>
    <col min="5681" max="5681" width="9.42578125" style="83" customWidth="1"/>
    <col min="5682" max="5682" width="7.5703125" style="83" customWidth="1"/>
    <col min="5683" max="5683" width="8.140625" style="83" customWidth="1"/>
    <col min="5684" max="5684" width="12.140625" style="83" customWidth="1"/>
    <col min="5685" max="5685" width="11" style="83" customWidth="1"/>
    <col min="5686" max="5686" width="10.5703125" style="83" customWidth="1"/>
    <col min="5687" max="5689" width="9.28515625" style="83" customWidth="1"/>
    <col min="5690" max="5690" width="8.5703125" style="83" customWidth="1"/>
    <col min="5691" max="5692" width="8.42578125" style="83" customWidth="1"/>
    <col min="5693" max="5693" width="9" style="83" customWidth="1"/>
    <col min="5694" max="5694" width="7.42578125" style="83" customWidth="1"/>
    <col min="5695" max="5700" width="0" style="83" hidden="1" customWidth="1"/>
    <col min="5701" max="5701" width="13.5703125" style="83" customWidth="1"/>
    <col min="5702" max="5934" width="9.140625" style="83"/>
    <col min="5935" max="5935" width="4.5703125" style="83" customWidth="1"/>
    <col min="5936" max="5936" width="46.140625" style="83" customWidth="1"/>
    <col min="5937" max="5937" width="9.42578125" style="83" customWidth="1"/>
    <col min="5938" max="5938" width="7.5703125" style="83" customWidth="1"/>
    <col min="5939" max="5939" width="8.140625" style="83" customWidth="1"/>
    <col min="5940" max="5940" width="12.140625" style="83" customWidth="1"/>
    <col min="5941" max="5941" width="11" style="83" customWidth="1"/>
    <col min="5942" max="5942" width="10.5703125" style="83" customWidth="1"/>
    <col min="5943" max="5945" width="9.28515625" style="83" customWidth="1"/>
    <col min="5946" max="5946" width="8.5703125" style="83" customWidth="1"/>
    <col min="5947" max="5948" width="8.42578125" style="83" customWidth="1"/>
    <col min="5949" max="5949" width="9" style="83" customWidth="1"/>
    <col min="5950" max="5950" width="7.42578125" style="83" customWidth="1"/>
    <col min="5951" max="5956" width="0" style="83" hidden="1" customWidth="1"/>
    <col min="5957" max="5957" width="13.5703125" style="83" customWidth="1"/>
    <col min="5958" max="6190" width="9.140625" style="83"/>
    <col min="6191" max="6191" width="4.5703125" style="83" customWidth="1"/>
    <col min="6192" max="6192" width="46.140625" style="83" customWidth="1"/>
    <col min="6193" max="6193" width="9.42578125" style="83" customWidth="1"/>
    <col min="6194" max="6194" width="7.5703125" style="83" customWidth="1"/>
    <col min="6195" max="6195" width="8.140625" style="83" customWidth="1"/>
    <col min="6196" max="6196" width="12.140625" style="83" customWidth="1"/>
    <col min="6197" max="6197" width="11" style="83" customWidth="1"/>
    <col min="6198" max="6198" width="10.5703125" style="83" customWidth="1"/>
    <col min="6199" max="6201" width="9.28515625" style="83" customWidth="1"/>
    <col min="6202" max="6202" width="8.5703125" style="83" customWidth="1"/>
    <col min="6203" max="6204" width="8.42578125" style="83" customWidth="1"/>
    <col min="6205" max="6205" width="9" style="83" customWidth="1"/>
    <col min="6206" max="6206" width="7.42578125" style="83" customWidth="1"/>
    <col min="6207" max="6212" width="0" style="83" hidden="1" customWidth="1"/>
    <col min="6213" max="6213" width="13.5703125" style="83" customWidth="1"/>
    <col min="6214" max="6446" width="9.140625" style="83"/>
    <col min="6447" max="6447" width="4.5703125" style="83" customWidth="1"/>
    <col min="6448" max="6448" width="46.140625" style="83" customWidth="1"/>
    <col min="6449" max="6449" width="9.42578125" style="83" customWidth="1"/>
    <col min="6450" max="6450" width="7.5703125" style="83" customWidth="1"/>
    <col min="6451" max="6451" width="8.140625" style="83" customWidth="1"/>
    <col min="6452" max="6452" width="12.140625" style="83" customWidth="1"/>
    <col min="6453" max="6453" width="11" style="83" customWidth="1"/>
    <col min="6454" max="6454" width="10.5703125" style="83" customWidth="1"/>
    <col min="6455" max="6457" width="9.28515625" style="83" customWidth="1"/>
    <col min="6458" max="6458" width="8.5703125" style="83" customWidth="1"/>
    <col min="6459" max="6460" width="8.42578125" style="83" customWidth="1"/>
    <col min="6461" max="6461" width="9" style="83" customWidth="1"/>
    <col min="6462" max="6462" width="7.42578125" style="83" customWidth="1"/>
    <col min="6463" max="6468" width="0" style="83" hidden="1" customWidth="1"/>
    <col min="6469" max="6469" width="13.5703125" style="83" customWidth="1"/>
    <col min="6470" max="6702" width="9.140625" style="83"/>
    <col min="6703" max="6703" width="4.5703125" style="83" customWidth="1"/>
    <col min="6704" max="6704" width="46.140625" style="83" customWidth="1"/>
    <col min="6705" max="6705" width="9.42578125" style="83" customWidth="1"/>
    <col min="6706" max="6706" width="7.5703125" style="83" customWidth="1"/>
    <col min="6707" max="6707" width="8.140625" style="83" customWidth="1"/>
    <col min="6708" max="6708" width="12.140625" style="83" customWidth="1"/>
    <col min="6709" max="6709" width="11" style="83" customWidth="1"/>
    <col min="6710" max="6710" width="10.5703125" style="83" customWidth="1"/>
    <col min="6711" max="6713" width="9.28515625" style="83" customWidth="1"/>
    <col min="6714" max="6714" width="8.5703125" style="83" customWidth="1"/>
    <col min="6715" max="6716" width="8.42578125" style="83" customWidth="1"/>
    <col min="6717" max="6717" width="9" style="83" customWidth="1"/>
    <col min="6718" max="6718" width="7.42578125" style="83" customWidth="1"/>
    <col min="6719" max="6724" width="0" style="83" hidden="1" customWidth="1"/>
    <col min="6725" max="6725" width="13.5703125" style="83" customWidth="1"/>
    <col min="6726" max="6958" width="9.140625" style="83"/>
    <col min="6959" max="6959" width="4.5703125" style="83" customWidth="1"/>
    <col min="6960" max="6960" width="46.140625" style="83" customWidth="1"/>
    <col min="6961" max="6961" width="9.42578125" style="83" customWidth="1"/>
    <col min="6962" max="6962" width="7.5703125" style="83" customWidth="1"/>
    <col min="6963" max="6963" width="8.140625" style="83" customWidth="1"/>
    <col min="6964" max="6964" width="12.140625" style="83" customWidth="1"/>
    <col min="6965" max="6965" width="11" style="83" customWidth="1"/>
    <col min="6966" max="6966" width="10.5703125" style="83" customWidth="1"/>
    <col min="6967" max="6969" width="9.28515625" style="83" customWidth="1"/>
    <col min="6970" max="6970" width="8.5703125" style="83" customWidth="1"/>
    <col min="6971" max="6972" width="8.42578125" style="83" customWidth="1"/>
    <col min="6973" max="6973" width="9" style="83" customWidth="1"/>
    <col min="6974" max="6974" width="7.42578125" style="83" customWidth="1"/>
    <col min="6975" max="6980" width="0" style="83" hidden="1" customWidth="1"/>
    <col min="6981" max="6981" width="13.5703125" style="83" customWidth="1"/>
    <col min="6982" max="7214" width="9.140625" style="83"/>
    <col min="7215" max="7215" width="4.5703125" style="83" customWidth="1"/>
    <col min="7216" max="7216" width="46.140625" style="83" customWidth="1"/>
    <col min="7217" max="7217" width="9.42578125" style="83" customWidth="1"/>
    <col min="7218" max="7218" width="7.5703125" style="83" customWidth="1"/>
    <col min="7219" max="7219" width="8.140625" style="83" customWidth="1"/>
    <col min="7220" max="7220" width="12.140625" style="83" customWidth="1"/>
    <col min="7221" max="7221" width="11" style="83" customWidth="1"/>
    <col min="7222" max="7222" width="10.5703125" style="83" customWidth="1"/>
    <col min="7223" max="7225" width="9.28515625" style="83" customWidth="1"/>
    <col min="7226" max="7226" width="8.5703125" style="83" customWidth="1"/>
    <col min="7227" max="7228" width="8.42578125" style="83" customWidth="1"/>
    <col min="7229" max="7229" width="9" style="83" customWidth="1"/>
    <col min="7230" max="7230" width="7.42578125" style="83" customWidth="1"/>
    <col min="7231" max="7236" width="0" style="83" hidden="1" customWidth="1"/>
    <col min="7237" max="7237" width="13.5703125" style="83" customWidth="1"/>
    <col min="7238" max="7470" width="9.140625" style="83"/>
    <col min="7471" max="7471" width="4.5703125" style="83" customWidth="1"/>
    <col min="7472" max="7472" width="46.140625" style="83" customWidth="1"/>
    <col min="7473" max="7473" width="9.42578125" style="83" customWidth="1"/>
    <col min="7474" max="7474" width="7.5703125" style="83" customWidth="1"/>
    <col min="7475" max="7475" width="8.140625" style="83" customWidth="1"/>
    <col min="7476" max="7476" width="12.140625" style="83" customWidth="1"/>
    <col min="7477" max="7477" width="11" style="83" customWidth="1"/>
    <col min="7478" max="7478" width="10.5703125" style="83" customWidth="1"/>
    <col min="7479" max="7481" width="9.28515625" style="83" customWidth="1"/>
    <col min="7482" max="7482" width="8.5703125" style="83" customWidth="1"/>
    <col min="7483" max="7484" width="8.42578125" style="83" customWidth="1"/>
    <col min="7485" max="7485" width="9" style="83" customWidth="1"/>
    <col min="7486" max="7486" width="7.42578125" style="83" customWidth="1"/>
    <col min="7487" max="7492" width="0" style="83" hidden="1" customWidth="1"/>
    <col min="7493" max="7493" width="13.5703125" style="83" customWidth="1"/>
    <col min="7494" max="7726" width="9.140625" style="83"/>
    <col min="7727" max="7727" width="4.5703125" style="83" customWidth="1"/>
    <col min="7728" max="7728" width="46.140625" style="83" customWidth="1"/>
    <col min="7729" max="7729" width="9.42578125" style="83" customWidth="1"/>
    <col min="7730" max="7730" width="7.5703125" style="83" customWidth="1"/>
    <col min="7731" max="7731" width="8.140625" style="83" customWidth="1"/>
    <col min="7732" max="7732" width="12.140625" style="83" customWidth="1"/>
    <col min="7733" max="7733" width="11" style="83" customWidth="1"/>
    <col min="7734" max="7734" width="10.5703125" style="83" customWidth="1"/>
    <col min="7735" max="7737" width="9.28515625" style="83" customWidth="1"/>
    <col min="7738" max="7738" width="8.5703125" style="83" customWidth="1"/>
    <col min="7739" max="7740" width="8.42578125" style="83" customWidth="1"/>
    <col min="7741" max="7741" width="9" style="83" customWidth="1"/>
    <col min="7742" max="7742" width="7.42578125" style="83" customWidth="1"/>
    <col min="7743" max="7748" width="0" style="83" hidden="1" customWidth="1"/>
    <col min="7749" max="7749" width="13.5703125" style="83" customWidth="1"/>
    <col min="7750" max="7982" width="9.140625" style="83"/>
    <col min="7983" max="7983" width="4.5703125" style="83" customWidth="1"/>
    <col min="7984" max="7984" width="46.140625" style="83" customWidth="1"/>
    <col min="7985" max="7985" width="9.42578125" style="83" customWidth="1"/>
    <col min="7986" max="7986" width="7.5703125" style="83" customWidth="1"/>
    <col min="7987" max="7987" width="8.140625" style="83" customWidth="1"/>
    <col min="7988" max="7988" width="12.140625" style="83" customWidth="1"/>
    <col min="7989" max="7989" width="11" style="83" customWidth="1"/>
    <col min="7990" max="7990" width="10.5703125" style="83" customWidth="1"/>
    <col min="7991" max="7993" width="9.28515625" style="83" customWidth="1"/>
    <col min="7994" max="7994" width="8.5703125" style="83" customWidth="1"/>
    <col min="7995" max="7996" width="8.42578125" style="83" customWidth="1"/>
    <col min="7997" max="7997" width="9" style="83" customWidth="1"/>
    <col min="7998" max="7998" width="7.42578125" style="83" customWidth="1"/>
    <col min="7999" max="8004" width="0" style="83" hidden="1" customWidth="1"/>
    <col min="8005" max="8005" width="13.5703125" style="83" customWidth="1"/>
    <col min="8006" max="8238" width="9.140625" style="83"/>
    <col min="8239" max="8239" width="4.5703125" style="83" customWidth="1"/>
    <col min="8240" max="8240" width="46.140625" style="83" customWidth="1"/>
    <col min="8241" max="8241" width="9.42578125" style="83" customWidth="1"/>
    <col min="8242" max="8242" width="7.5703125" style="83" customWidth="1"/>
    <col min="8243" max="8243" width="8.140625" style="83" customWidth="1"/>
    <col min="8244" max="8244" width="12.140625" style="83" customWidth="1"/>
    <col min="8245" max="8245" width="11" style="83" customWidth="1"/>
    <col min="8246" max="8246" width="10.5703125" style="83" customWidth="1"/>
    <col min="8247" max="8249" width="9.28515625" style="83" customWidth="1"/>
    <col min="8250" max="8250" width="8.5703125" style="83" customWidth="1"/>
    <col min="8251" max="8252" width="8.42578125" style="83" customWidth="1"/>
    <col min="8253" max="8253" width="9" style="83" customWidth="1"/>
    <col min="8254" max="8254" width="7.42578125" style="83" customWidth="1"/>
    <col min="8255" max="8260" width="0" style="83" hidden="1" customWidth="1"/>
    <col min="8261" max="8261" width="13.5703125" style="83" customWidth="1"/>
    <col min="8262" max="8494" width="9.140625" style="83"/>
    <col min="8495" max="8495" width="4.5703125" style="83" customWidth="1"/>
    <col min="8496" max="8496" width="46.140625" style="83" customWidth="1"/>
    <col min="8497" max="8497" width="9.42578125" style="83" customWidth="1"/>
    <col min="8498" max="8498" width="7.5703125" style="83" customWidth="1"/>
    <col min="8499" max="8499" width="8.140625" style="83" customWidth="1"/>
    <col min="8500" max="8500" width="12.140625" style="83" customWidth="1"/>
    <col min="8501" max="8501" width="11" style="83" customWidth="1"/>
    <col min="8502" max="8502" width="10.5703125" style="83" customWidth="1"/>
    <col min="8503" max="8505" width="9.28515625" style="83" customWidth="1"/>
    <col min="8506" max="8506" width="8.5703125" style="83" customWidth="1"/>
    <col min="8507" max="8508" width="8.42578125" style="83" customWidth="1"/>
    <col min="8509" max="8509" width="9" style="83" customWidth="1"/>
    <col min="8510" max="8510" width="7.42578125" style="83" customWidth="1"/>
    <col min="8511" max="8516" width="0" style="83" hidden="1" customWidth="1"/>
    <col min="8517" max="8517" width="13.5703125" style="83" customWidth="1"/>
    <col min="8518" max="8750" width="9.140625" style="83"/>
    <col min="8751" max="8751" width="4.5703125" style="83" customWidth="1"/>
    <col min="8752" max="8752" width="46.140625" style="83" customWidth="1"/>
    <col min="8753" max="8753" width="9.42578125" style="83" customWidth="1"/>
    <col min="8754" max="8754" width="7.5703125" style="83" customWidth="1"/>
    <col min="8755" max="8755" width="8.140625" style="83" customWidth="1"/>
    <col min="8756" max="8756" width="12.140625" style="83" customWidth="1"/>
    <col min="8757" max="8757" width="11" style="83" customWidth="1"/>
    <col min="8758" max="8758" width="10.5703125" style="83" customWidth="1"/>
    <col min="8759" max="8761" width="9.28515625" style="83" customWidth="1"/>
    <col min="8762" max="8762" width="8.5703125" style="83" customWidth="1"/>
    <col min="8763" max="8764" width="8.42578125" style="83" customWidth="1"/>
    <col min="8765" max="8765" width="9" style="83" customWidth="1"/>
    <col min="8766" max="8766" width="7.42578125" style="83" customWidth="1"/>
    <col min="8767" max="8772" width="0" style="83" hidden="1" customWidth="1"/>
    <col min="8773" max="8773" width="13.5703125" style="83" customWidth="1"/>
    <col min="8774" max="9006" width="9.140625" style="83"/>
    <col min="9007" max="9007" width="4.5703125" style="83" customWidth="1"/>
    <col min="9008" max="9008" width="46.140625" style="83" customWidth="1"/>
    <col min="9009" max="9009" width="9.42578125" style="83" customWidth="1"/>
    <col min="9010" max="9010" width="7.5703125" style="83" customWidth="1"/>
    <col min="9011" max="9011" width="8.140625" style="83" customWidth="1"/>
    <col min="9012" max="9012" width="12.140625" style="83" customWidth="1"/>
    <col min="9013" max="9013" width="11" style="83" customWidth="1"/>
    <col min="9014" max="9014" width="10.5703125" style="83" customWidth="1"/>
    <col min="9015" max="9017" width="9.28515625" style="83" customWidth="1"/>
    <col min="9018" max="9018" width="8.5703125" style="83" customWidth="1"/>
    <col min="9019" max="9020" width="8.42578125" style="83" customWidth="1"/>
    <col min="9021" max="9021" width="9" style="83" customWidth="1"/>
    <col min="9022" max="9022" width="7.42578125" style="83" customWidth="1"/>
    <col min="9023" max="9028" width="0" style="83" hidden="1" customWidth="1"/>
    <col min="9029" max="9029" width="13.5703125" style="83" customWidth="1"/>
    <col min="9030" max="9262" width="9.140625" style="83"/>
    <col min="9263" max="9263" width="4.5703125" style="83" customWidth="1"/>
    <col min="9264" max="9264" width="46.140625" style="83" customWidth="1"/>
    <col min="9265" max="9265" width="9.42578125" style="83" customWidth="1"/>
    <col min="9266" max="9266" width="7.5703125" style="83" customWidth="1"/>
    <col min="9267" max="9267" width="8.140625" style="83" customWidth="1"/>
    <col min="9268" max="9268" width="12.140625" style="83" customWidth="1"/>
    <col min="9269" max="9269" width="11" style="83" customWidth="1"/>
    <col min="9270" max="9270" width="10.5703125" style="83" customWidth="1"/>
    <col min="9271" max="9273" width="9.28515625" style="83" customWidth="1"/>
    <col min="9274" max="9274" width="8.5703125" style="83" customWidth="1"/>
    <col min="9275" max="9276" width="8.42578125" style="83" customWidth="1"/>
    <col min="9277" max="9277" width="9" style="83" customWidth="1"/>
    <col min="9278" max="9278" width="7.42578125" style="83" customWidth="1"/>
    <col min="9279" max="9284" width="0" style="83" hidden="1" customWidth="1"/>
    <col min="9285" max="9285" width="13.5703125" style="83" customWidth="1"/>
    <col min="9286" max="9518" width="9.140625" style="83"/>
    <col min="9519" max="9519" width="4.5703125" style="83" customWidth="1"/>
    <col min="9520" max="9520" width="46.140625" style="83" customWidth="1"/>
    <col min="9521" max="9521" width="9.42578125" style="83" customWidth="1"/>
    <col min="9522" max="9522" width="7.5703125" style="83" customWidth="1"/>
    <col min="9523" max="9523" width="8.140625" style="83" customWidth="1"/>
    <col min="9524" max="9524" width="12.140625" style="83" customWidth="1"/>
    <col min="9525" max="9525" width="11" style="83" customWidth="1"/>
    <col min="9526" max="9526" width="10.5703125" style="83" customWidth="1"/>
    <col min="9527" max="9529" width="9.28515625" style="83" customWidth="1"/>
    <col min="9530" max="9530" width="8.5703125" style="83" customWidth="1"/>
    <col min="9531" max="9532" width="8.42578125" style="83" customWidth="1"/>
    <col min="9533" max="9533" width="9" style="83" customWidth="1"/>
    <col min="9534" max="9534" width="7.42578125" style="83" customWidth="1"/>
    <col min="9535" max="9540" width="0" style="83" hidden="1" customWidth="1"/>
    <col min="9541" max="9541" width="13.5703125" style="83" customWidth="1"/>
    <col min="9542" max="9774" width="9.140625" style="83"/>
    <col min="9775" max="9775" width="4.5703125" style="83" customWidth="1"/>
    <col min="9776" max="9776" width="46.140625" style="83" customWidth="1"/>
    <col min="9777" max="9777" width="9.42578125" style="83" customWidth="1"/>
    <col min="9778" max="9778" width="7.5703125" style="83" customWidth="1"/>
    <col min="9779" max="9779" width="8.140625" style="83" customWidth="1"/>
    <col min="9780" max="9780" width="12.140625" style="83" customWidth="1"/>
    <col min="9781" max="9781" width="11" style="83" customWidth="1"/>
    <col min="9782" max="9782" width="10.5703125" style="83" customWidth="1"/>
    <col min="9783" max="9785" width="9.28515625" style="83" customWidth="1"/>
    <col min="9786" max="9786" width="8.5703125" style="83" customWidth="1"/>
    <col min="9787" max="9788" width="8.42578125" style="83" customWidth="1"/>
    <col min="9789" max="9789" width="9" style="83" customWidth="1"/>
    <col min="9790" max="9790" width="7.42578125" style="83" customWidth="1"/>
    <col min="9791" max="9796" width="0" style="83" hidden="1" customWidth="1"/>
    <col min="9797" max="9797" width="13.5703125" style="83" customWidth="1"/>
    <col min="9798" max="10030" width="9.140625" style="83"/>
    <col min="10031" max="10031" width="4.5703125" style="83" customWidth="1"/>
    <col min="10032" max="10032" width="46.140625" style="83" customWidth="1"/>
    <col min="10033" max="10033" width="9.42578125" style="83" customWidth="1"/>
    <col min="10034" max="10034" width="7.5703125" style="83" customWidth="1"/>
    <col min="10035" max="10035" width="8.140625" style="83" customWidth="1"/>
    <col min="10036" max="10036" width="12.140625" style="83" customWidth="1"/>
    <col min="10037" max="10037" width="11" style="83" customWidth="1"/>
    <col min="10038" max="10038" width="10.5703125" style="83" customWidth="1"/>
    <col min="10039" max="10041" width="9.28515625" style="83" customWidth="1"/>
    <col min="10042" max="10042" width="8.5703125" style="83" customWidth="1"/>
    <col min="10043" max="10044" width="8.42578125" style="83" customWidth="1"/>
    <col min="10045" max="10045" width="9" style="83" customWidth="1"/>
    <col min="10046" max="10046" width="7.42578125" style="83" customWidth="1"/>
    <col min="10047" max="10052" width="0" style="83" hidden="1" customWidth="1"/>
    <col min="10053" max="10053" width="13.5703125" style="83" customWidth="1"/>
    <col min="10054" max="10286" width="9.140625" style="83"/>
    <col min="10287" max="10287" width="4.5703125" style="83" customWidth="1"/>
    <col min="10288" max="10288" width="46.140625" style="83" customWidth="1"/>
    <col min="10289" max="10289" width="9.42578125" style="83" customWidth="1"/>
    <col min="10290" max="10290" width="7.5703125" style="83" customWidth="1"/>
    <col min="10291" max="10291" width="8.140625" style="83" customWidth="1"/>
    <col min="10292" max="10292" width="12.140625" style="83" customWidth="1"/>
    <col min="10293" max="10293" width="11" style="83" customWidth="1"/>
    <col min="10294" max="10294" width="10.5703125" style="83" customWidth="1"/>
    <col min="10295" max="10297" width="9.28515625" style="83" customWidth="1"/>
    <col min="10298" max="10298" width="8.5703125" style="83" customWidth="1"/>
    <col min="10299" max="10300" width="8.42578125" style="83" customWidth="1"/>
    <col min="10301" max="10301" width="9" style="83" customWidth="1"/>
    <col min="10302" max="10302" width="7.42578125" style="83" customWidth="1"/>
    <col min="10303" max="10308" width="0" style="83" hidden="1" customWidth="1"/>
    <col min="10309" max="10309" width="13.5703125" style="83" customWidth="1"/>
    <col min="10310" max="10542" width="9.140625" style="83"/>
    <col min="10543" max="10543" width="4.5703125" style="83" customWidth="1"/>
    <col min="10544" max="10544" width="46.140625" style="83" customWidth="1"/>
    <col min="10545" max="10545" width="9.42578125" style="83" customWidth="1"/>
    <col min="10546" max="10546" width="7.5703125" style="83" customWidth="1"/>
    <col min="10547" max="10547" width="8.140625" style="83" customWidth="1"/>
    <col min="10548" max="10548" width="12.140625" style="83" customWidth="1"/>
    <col min="10549" max="10549" width="11" style="83" customWidth="1"/>
    <col min="10550" max="10550" width="10.5703125" style="83" customWidth="1"/>
    <col min="10551" max="10553" width="9.28515625" style="83" customWidth="1"/>
    <col min="10554" max="10554" width="8.5703125" style="83" customWidth="1"/>
    <col min="10555" max="10556" width="8.42578125" style="83" customWidth="1"/>
    <col min="10557" max="10557" width="9" style="83" customWidth="1"/>
    <col min="10558" max="10558" width="7.42578125" style="83" customWidth="1"/>
    <col min="10559" max="10564" width="0" style="83" hidden="1" customWidth="1"/>
    <col min="10565" max="10565" width="13.5703125" style="83" customWidth="1"/>
    <col min="10566" max="10798" width="9.140625" style="83"/>
    <col min="10799" max="10799" width="4.5703125" style="83" customWidth="1"/>
    <col min="10800" max="10800" width="46.140625" style="83" customWidth="1"/>
    <col min="10801" max="10801" width="9.42578125" style="83" customWidth="1"/>
    <col min="10802" max="10802" width="7.5703125" style="83" customWidth="1"/>
    <col min="10803" max="10803" width="8.140625" style="83" customWidth="1"/>
    <col min="10804" max="10804" width="12.140625" style="83" customWidth="1"/>
    <col min="10805" max="10805" width="11" style="83" customWidth="1"/>
    <col min="10806" max="10806" width="10.5703125" style="83" customWidth="1"/>
    <col min="10807" max="10809" width="9.28515625" style="83" customWidth="1"/>
    <col min="10810" max="10810" width="8.5703125" style="83" customWidth="1"/>
    <col min="10811" max="10812" width="8.42578125" style="83" customWidth="1"/>
    <col min="10813" max="10813" width="9" style="83" customWidth="1"/>
    <col min="10814" max="10814" width="7.42578125" style="83" customWidth="1"/>
    <col min="10815" max="10820" width="0" style="83" hidden="1" customWidth="1"/>
    <col min="10821" max="10821" width="13.5703125" style="83" customWidth="1"/>
    <col min="10822" max="11054" width="9.140625" style="83"/>
    <col min="11055" max="11055" width="4.5703125" style="83" customWidth="1"/>
    <col min="11056" max="11056" width="46.140625" style="83" customWidth="1"/>
    <col min="11057" max="11057" width="9.42578125" style="83" customWidth="1"/>
    <col min="11058" max="11058" width="7.5703125" style="83" customWidth="1"/>
    <col min="11059" max="11059" width="8.140625" style="83" customWidth="1"/>
    <col min="11060" max="11060" width="12.140625" style="83" customWidth="1"/>
    <col min="11061" max="11061" width="11" style="83" customWidth="1"/>
    <col min="11062" max="11062" width="10.5703125" style="83" customWidth="1"/>
    <col min="11063" max="11065" width="9.28515625" style="83" customWidth="1"/>
    <col min="11066" max="11066" width="8.5703125" style="83" customWidth="1"/>
    <col min="11067" max="11068" width="8.42578125" style="83" customWidth="1"/>
    <col min="11069" max="11069" width="9" style="83" customWidth="1"/>
    <col min="11070" max="11070" width="7.42578125" style="83" customWidth="1"/>
    <col min="11071" max="11076" width="0" style="83" hidden="1" customWidth="1"/>
    <col min="11077" max="11077" width="13.5703125" style="83" customWidth="1"/>
    <col min="11078" max="11310" width="9.140625" style="83"/>
    <col min="11311" max="11311" width="4.5703125" style="83" customWidth="1"/>
    <col min="11312" max="11312" width="46.140625" style="83" customWidth="1"/>
    <col min="11313" max="11313" width="9.42578125" style="83" customWidth="1"/>
    <col min="11314" max="11314" width="7.5703125" style="83" customWidth="1"/>
    <col min="11315" max="11315" width="8.140625" style="83" customWidth="1"/>
    <col min="11316" max="11316" width="12.140625" style="83" customWidth="1"/>
    <col min="11317" max="11317" width="11" style="83" customWidth="1"/>
    <col min="11318" max="11318" width="10.5703125" style="83" customWidth="1"/>
    <col min="11319" max="11321" width="9.28515625" style="83" customWidth="1"/>
    <col min="11322" max="11322" width="8.5703125" style="83" customWidth="1"/>
    <col min="11323" max="11324" width="8.42578125" style="83" customWidth="1"/>
    <col min="11325" max="11325" width="9" style="83" customWidth="1"/>
    <col min="11326" max="11326" width="7.42578125" style="83" customWidth="1"/>
    <col min="11327" max="11332" width="0" style="83" hidden="1" customWidth="1"/>
    <col min="11333" max="11333" width="13.5703125" style="83" customWidth="1"/>
    <col min="11334" max="11566" width="9.140625" style="83"/>
    <col min="11567" max="11567" width="4.5703125" style="83" customWidth="1"/>
    <col min="11568" max="11568" width="46.140625" style="83" customWidth="1"/>
    <col min="11569" max="11569" width="9.42578125" style="83" customWidth="1"/>
    <col min="11570" max="11570" width="7.5703125" style="83" customWidth="1"/>
    <col min="11571" max="11571" width="8.140625" style="83" customWidth="1"/>
    <col min="11572" max="11572" width="12.140625" style="83" customWidth="1"/>
    <col min="11573" max="11573" width="11" style="83" customWidth="1"/>
    <col min="11574" max="11574" width="10.5703125" style="83" customWidth="1"/>
    <col min="11575" max="11577" width="9.28515625" style="83" customWidth="1"/>
    <col min="11578" max="11578" width="8.5703125" style="83" customWidth="1"/>
    <col min="11579" max="11580" width="8.42578125" style="83" customWidth="1"/>
    <col min="11581" max="11581" width="9" style="83" customWidth="1"/>
    <col min="11582" max="11582" width="7.42578125" style="83" customWidth="1"/>
    <col min="11583" max="11588" width="0" style="83" hidden="1" customWidth="1"/>
    <col min="11589" max="11589" width="13.5703125" style="83" customWidth="1"/>
    <col min="11590" max="11822" width="9.140625" style="83"/>
    <col min="11823" max="11823" width="4.5703125" style="83" customWidth="1"/>
    <col min="11824" max="11824" width="46.140625" style="83" customWidth="1"/>
    <col min="11825" max="11825" width="9.42578125" style="83" customWidth="1"/>
    <col min="11826" max="11826" width="7.5703125" style="83" customWidth="1"/>
    <col min="11827" max="11827" width="8.140625" style="83" customWidth="1"/>
    <col min="11828" max="11828" width="12.140625" style="83" customWidth="1"/>
    <col min="11829" max="11829" width="11" style="83" customWidth="1"/>
    <col min="11830" max="11830" width="10.5703125" style="83" customWidth="1"/>
    <col min="11831" max="11833" width="9.28515625" style="83" customWidth="1"/>
    <col min="11834" max="11834" width="8.5703125" style="83" customWidth="1"/>
    <col min="11835" max="11836" width="8.42578125" style="83" customWidth="1"/>
    <col min="11837" max="11837" width="9" style="83" customWidth="1"/>
    <col min="11838" max="11838" width="7.42578125" style="83" customWidth="1"/>
    <col min="11839" max="11844" width="0" style="83" hidden="1" customWidth="1"/>
    <col min="11845" max="11845" width="13.5703125" style="83" customWidth="1"/>
    <col min="11846" max="12078" width="9.140625" style="83"/>
    <col min="12079" max="12079" width="4.5703125" style="83" customWidth="1"/>
    <col min="12080" max="12080" width="46.140625" style="83" customWidth="1"/>
    <col min="12081" max="12081" width="9.42578125" style="83" customWidth="1"/>
    <col min="12082" max="12082" width="7.5703125" style="83" customWidth="1"/>
    <col min="12083" max="12083" width="8.140625" style="83" customWidth="1"/>
    <col min="12084" max="12084" width="12.140625" style="83" customWidth="1"/>
    <col min="12085" max="12085" width="11" style="83" customWidth="1"/>
    <col min="12086" max="12086" width="10.5703125" style="83" customWidth="1"/>
    <col min="12087" max="12089" width="9.28515625" style="83" customWidth="1"/>
    <col min="12090" max="12090" width="8.5703125" style="83" customWidth="1"/>
    <col min="12091" max="12092" width="8.42578125" style="83" customWidth="1"/>
    <col min="12093" max="12093" width="9" style="83" customWidth="1"/>
    <col min="12094" max="12094" width="7.42578125" style="83" customWidth="1"/>
    <col min="12095" max="12100" width="0" style="83" hidden="1" customWidth="1"/>
    <col min="12101" max="12101" width="13.5703125" style="83" customWidth="1"/>
    <col min="12102" max="12334" width="9.140625" style="83"/>
    <col min="12335" max="12335" width="4.5703125" style="83" customWidth="1"/>
    <col min="12336" max="12336" width="46.140625" style="83" customWidth="1"/>
    <col min="12337" max="12337" width="9.42578125" style="83" customWidth="1"/>
    <col min="12338" max="12338" width="7.5703125" style="83" customWidth="1"/>
    <col min="12339" max="12339" width="8.140625" style="83" customWidth="1"/>
    <col min="12340" max="12340" width="12.140625" style="83" customWidth="1"/>
    <col min="12341" max="12341" width="11" style="83" customWidth="1"/>
    <col min="12342" max="12342" width="10.5703125" style="83" customWidth="1"/>
    <col min="12343" max="12345" width="9.28515625" style="83" customWidth="1"/>
    <col min="12346" max="12346" width="8.5703125" style="83" customWidth="1"/>
    <col min="12347" max="12348" width="8.42578125" style="83" customWidth="1"/>
    <col min="12349" max="12349" width="9" style="83" customWidth="1"/>
    <col min="12350" max="12350" width="7.42578125" style="83" customWidth="1"/>
    <col min="12351" max="12356" width="0" style="83" hidden="1" customWidth="1"/>
    <col min="12357" max="12357" width="13.5703125" style="83" customWidth="1"/>
    <col min="12358" max="12590" width="9.140625" style="83"/>
    <col min="12591" max="12591" width="4.5703125" style="83" customWidth="1"/>
    <col min="12592" max="12592" width="46.140625" style="83" customWidth="1"/>
    <col min="12593" max="12593" width="9.42578125" style="83" customWidth="1"/>
    <col min="12594" max="12594" width="7.5703125" style="83" customWidth="1"/>
    <col min="12595" max="12595" width="8.140625" style="83" customWidth="1"/>
    <col min="12596" max="12596" width="12.140625" style="83" customWidth="1"/>
    <col min="12597" max="12597" width="11" style="83" customWidth="1"/>
    <col min="12598" max="12598" width="10.5703125" style="83" customWidth="1"/>
    <col min="12599" max="12601" width="9.28515625" style="83" customWidth="1"/>
    <col min="12602" max="12602" width="8.5703125" style="83" customWidth="1"/>
    <col min="12603" max="12604" width="8.42578125" style="83" customWidth="1"/>
    <col min="12605" max="12605" width="9" style="83" customWidth="1"/>
    <col min="12606" max="12606" width="7.42578125" style="83" customWidth="1"/>
    <col min="12607" max="12612" width="0" style="83" hidden="1" customWidth="1"/>
    <col min="12613" max="12613" width="13.5703125" style="83" customWidth="1"/>
    <col min="12614" max="12846" width="9.140625" style="83"/>
    <col min="12847" max="12847" width="4.5703125" style="83" customWidth="1"/>
    <col min="12848" max="12848" width="46.140625" style="83" customWidth="1"/>
    <col min="12849" max="12849" width="9.42578125" style="83" customWidth="1"/>
    <col min="12850" max="12850" width="7.5703125" style="83" customWidth="1"/>
    <col min="12851" max="12851" width="8.140625" style="83" customWidth="1"/>
    <col min="12852" max="12852" width="12.140625" style="83" customWidth="1"/>
    <col min="12853" max="12853" width="11" style="83" customWidth="1"/>
    <col min="12854" max="12854" width="10.5703125" style="83" customWidth="1"/>
    <col min="12855" max="12857" width="9.28515625" style="83" customWidth="1"/>
    <col min="12858" max="12858" width="8.5703125" style="83" customWidth="1"/>
    <col min="12859" max="12860" width="8.42578125" style="83" customWidth="1"/>
    <col min="12861" max="12861" width="9" style="83" customWidth="1"/>
    <col min="12862" max="12862" width="7.42578125" style="83" customWidth="1"/>
    <col min="12863" max="12868" width="0" style="83" hidden="1" customWidth="1"/>
    <col min="12869" max="12869" width="13.5703125" style="83" customWidth="1"/>
    <col min="12870" max="13102" width="9.140625" style="83"/>
    <col min="13103" max="13103" width="4.5703125" style="83" customWidth="1"/>
    <col min="13104" max="13104" width="46.140625" style="83" customWidth="1"/>
    <col min="13105" max="13105" width="9.42578125" style="83" customWidth="1"/>
    <col min="13106" max="13106" width="7.5703125" style="83" customWidth="1"/>
    <col min="13107" max="13107" width="8.140625" style="83" customWidth="1"/>
    <col min="13108" max="13108" width="12.140625" style="83" customWidth="1"/>
    <col min="13109" max="13109" width="11" style="83" customWidth="1"/>
    <col min="13110" max="13110" width="10.5703125" style="83" customWidth="1"/>
    <col min="13111" max="13113" width="9.28515625" style="83" customWidth="1"/>
    <col min="13114" max="13114" width="8.5703125" style="83" customWidth="1"/>
    <col min="13115" max="13116" width="8.42578125" style="83" customWidth="1"/>
    <col min="13117" max="13117" width="9" style="83" customWidth="1"/>
    <col min="13118" max="13118" width="7.42578125" style="83" customWidth="1"/>
    <col min="13119" max="13124" width="0" style="83" hidden="1" customWidth="1"/>
    <col min="13125" max="13125" width="13.5703125" style="83" customWidth="1"/>
    <col min="13126" max="13358" width="9.140625" style="83"/>
    <col min="13359" max="13359" width="4.5703125" style="83" customWidth="1"/>
    <col min="13360" max="13360" width="46.140625" style="83" customWidth="1"/>
    <col min="13361" max="13361" width="9.42578125" style="83" customWidth="1"/>
    <col min="13362" max="13362" width="7.5703125" style="83" customWidth="1"/>
    <col min="13363" max="13363" width="8.140625" style="83" customWidth="1"/>
    <col min="13364" max="13364" width="12.140625" style="83" customWidth="1"/>
    <col min="13365" max="13365" width="11" style="83" customWidth="1"/>
    <col min="13366" max="13366" width="10.5703125" style="83" customWidth="1"/>
    <col min="13367" max="13369" width="9.28515625" style="83" customWidth="1"/>
    <col min="13370" max="13370" width="8.5703125" style="83" customWidth="1"/>
    <col min="13371" max="13372" width="8.42578125" style="83" customWidth="1"/>
    <col min="13373" max="13373" width="9" style="83" customWidth="1"/>
    <col min="13374" max="13374" width="7.42578125" style="83" customWidth="1"/>
    <col min="13375" max="13380" width="0" style="83" hidden="1" customWidth="1"/>
    <col min="13381" max="13381" width="13.5703125" style="83" customWidth="1"/>
    <col min="13382" max="13614" width="9.140625" style="83"/>
    <col min="13615" max="13615" width="4.5703125" style="83" customWidth="1"/>
    <col min="13616" max="13616" width="46.140625" style="83" customWidth="1"/>
    <col min="13617" max="13617" width="9.42578125" style="83" customWidth="1"/>
    <col min="13618" max="13618" width="7.5703125" style="83" customWidth="1"/>
    <col min="13619" max="13619" width="8.140625" style="83" customWidth="1"/>
    <col min="13620" max="13620" width="12.140625" style="83" customWidth="1"/>
    <col min="13621" max="13621" width="11" style="83" customWidth="1"/>
    <col min="13622" max="13622" width="10.5703125" style="83" customWidth="1"/>
    <col min="13623" max="13625" width="9.28515625" style="83" customWidth="1"/>
    <col min="13626" max="13626" width="8.5703125" style="83" customWidth="1"/>
    <col min="13627" max="13628" width="8.42578125" style="83" customWidth="1"/>
    <col min="13629" max="13629" width="9" style="83" customWidth="1"/>
    <col min="13630" max="13630" width="7.42578125" style="83" customWidth="1"/>
    <col min="13631" max="13636" width="0" style="83" hidden="1" customWidth="1"/>
    <col min="13637" max="13637" width="13.5703125" style="83" customWidth="1"/>
    <col min="13638" max="13870" width="9.140625" style="83"/>
    <col min="13871" max="13871" width="4.5703125" style="83" customWidth="1"/>
    <col min="13872" max="13872" width="46.140625" style="83" customWidth="1"/>
    <col min="13873" max="13873" width="9.42578125" style="83" customWidth="1"/>
    <col min="13874" max="13874" width="7.5703125" style="83" customWidth="1"/>
    <col min="13875" max="13875" width="8.140625" style="83" customWidth="1"/>
    <col min="13876" max="13876" width="12.140625" style="83" customWidth="1"/>
    <col min="13877" max="13877" width="11" style="83" customWidth="1"/>
    <col min="13878" max="13878" width="10.5703125" style="83" customWidth="1"/>
    <col min="13879" max="13881" width="9.28515625" style="83" customWidth="1"/>
    <col min="13882" max="13882" width="8.5703125" style="83" customWidth="1"/>
    <col min="13883" max="13884" width="8.42578125" style="83" customWidth="1"/>
    <col min="13885" max="13885" width="9" style="83" customWidth="1"/>
    <col min="13886" max="13886" width="7.42578125" style="83" customWidth="1"/>
    <col min="13887" max="13892" width="0" style="83" hidden="1" customWidth="1"/>
    <col min="13893" max="13893" width="13.5703125" style="83" customWidth="1"/>
    <col min="13894" max="14126" width="9.140625" style="83"/>
    <col min="14127" max="14127" width="4.5703125" style="83" customWidth="1"/>
    <col min="14128" max="14128" width="46.140625" style="83" customWidth="1"/>
    <col min="14129" max="14129" width="9.42578125" style="83" customWidth="1"/>
    <col min="14130" max="14130" width="7.5703125" style="83" customWidth="1"/>
    <col min="14131" max="14131" width="8.140625" style="83" customWidth="1"/>
    <col min="14132" max="14132" width="12.140625" style="83" customWidth="1"/>
    <col min="14133" max="14133" width="11" style="83" customWidth="1"/>
    <col min="14134" max="14134" width="10.5703125" style="83" customWidth="1"/>
    <col min="14135" max="14137" width="9.28515625" style="83" customWidth="1"/>
    <col min="14138" max="14138" width="8.5703125" style="83" customWidth="1"/>
    <col min="14139" max="14140" width="8.42578125" style="83" customWidth="1"/>
    <col min="14141" max="14141" width="9" style="83" customWidth="1"/>
    <col min="14142" max="14142" width="7.42578125" style="83" customWidth="1"/>
    <col min="14143" max="14148" width="0" style="83" hidden="1" customWidth="1"/>
    <col min="14149" max="14149" width="13.5703125" style="83" customWidth="1"/>
    <col min="14150" max="14382" width="9.140625" style="83"/>
    <col min="14383" max="14383" width="4.5703125" style="83" customWidth="1"/>
    <col min="14384" max="14384" width="46.140625" style="83" customWidth="1"/>
    <col min="14385" max="14385" width="9.42578125" style="83" customWidth="1"/>
    <col min="14386" max="14386" width="7.5703125" style="83" customWidth="1"/>
    <col min="14387" max="14387" width="8.140625" style="83" customWidth="1"/>
    <col min="14388" max="14388" width="12.140625" style="83" customWidth="1"/>
    <col min="14389" max="14389" width="11" style="83" customWidth="1"/>
    <col min="14390" max="14390" width="10.5703125" style="83" customWidth="1"/>
    <col min="14391" max="14393" width="9.28515625" style="83" customWidth="1"/>
    <col min="14394" max="14394" width="8.5703125" style="83" customWidth="1"/>
    <col min="14395" max="14396" width="8.42578125" style="83" customWidth="1"/>
    <col min="14397" max="14397" width="9" style="83" customWidth="1"/>
    <col min="14398" max="14398" width="7.42578125" style="83" customWidth="1"/>
    <col min="14399" max="14404" width="0" style="83" hidden="1" customWidth="1"/>
    <col min="14405" max="14405" width="13.5703125" style="83" customWidth="1"/>
    <col min="14406" max="14638" width="9.140625" style="83"/>
    <col min="14639" max="14639" width="4.5703125" style="83" customWidth="1"/>
    <col min="14640" max="14640" width="46.140625" style="83" customWidth="1"/>
    <col min="14641" max="14641" width="9.42578125" style="83" customWidth="1"/>
    <col min="14642" max="14642" width="7.5703125" style="83" customWidth="1"/>
    <col min="14643" max="14643" width="8.140625" style="83" customWidth="1"/>
    <col min="14644" max="14644" width="12.140625" style="83" customWidth="1"/>
    <col min="14645" max="14645" width="11" style="83" customWidth="1"/>
    <col min="14646" max="14646" width="10.5703125" style="83" customWidth="1"/>
    <col min="14647" max="14649" width="9.28515625" style="83" customWidth="1"/>
    <col min="14650" max="14650" width="8.5703125" style="83" customWidth="1"/>
    <col min="14651" max="14652" width="8.42578125" style="83" customWidth="1"/>
    <col min="14653" max="14653" width="9" style="83" customWidth="1"/>
    <col min="14654" max="14654" width="7.42578125" style="83" customWidth="1"/>
    <col min="14655" max="14660" width="0" style="83" hidden="1" customWidth="1"/>
    <col min="14661" max="14661" width="13.5703125" style="83" customWidth="1"/>
    <col min="14662" max="14894" width="9.140625" style="83"/>
    <col min="14895" max="14895" width="4.5703125" style="83" customWidth="1"/>
    <col min="14896" max="14896" width="46.140625" style="83" customWidth="1"/>
    <col min="14897" max="14897" width="9.42578125" style="83" customWidth="1"/>
    <col min="14898" max="14898" width="7.5703125" style="83" customWidth="1"/>
    <col min="14899" max="14899" width="8.140625" style="83" customWidth="1"/>
    <col min="14900" max="14900" width="12.140625" style="83" customWidth="1"/>
    <col min="14901" max="14901" width="11" style="83" customWidth="1"/>
    <col min="14902" max="14902" width="10.5703125" style="83" customWidth="1"/>
    <col min="14903" max="14905" width="9.28515625" style="83" customWidth="1"/>
    <col min="14906" max="14906" width="8.5703125" style="83" customWidth="1"/>
    <col min="14907" max="14908" width="8.42578125" style="83" customWidth="1"/>
    <col min="14909" max="14909" width="9" style="83" customWidth="1"/>
    <col min="14910" max="14910" width="7.42578125" style="83" customWidth="1"/>
    <col min="14911" max="14916" width="0" style="83" hidden="1" customWidth="1"/>
    <col min="14917" max="14917" width="13.5703125" style="83" customWidth="1"/>
    <col min="14918" max="15150" width="9.140625" style="83"/>
    <col min="15151" max="15151" width="4.5703125" style="83" customWidth="1"/>
    <col min="15152" max="15152" width="46.140625" style="83" customWidth="1"/>
    <col min="15153" max="15153" width="9.42578125" style="83" customWidth="1"/>
    <col min="15154" max="15154" width="7.5703125" style="83" customWidth="1"/>
    <col min="15155" max="15155" width="8.140625" style="83" customWidth="1"/>
    <col min="15156" max="15156" width="12.140625" style="83" customWidth="1"/>
    <col min="15157" max="15157" width="11" style="83" customWidth="1"/>
    <col min="15158" max="15158" width="10.5703125" style="83" customWidth="1"/>
    <col min="15159" max="15161" width="9.28515625" style="83" customWidth="1"/>
    <col min="15162" max="15162" width="8.5703125" style="83" customWidth="1"/>
    <col min="15163" max="15164" width="8.42578125" style="83" customWidth="1"/>
    <col min="15165" max="15165" width="9" style="83" customWidth="1"/>
    <col min="15166" max="15166" width="7.42578125" style="83" customWidth="1"/>
    <col min="15167" max="15172" width="0" style="83" hidden="1" customWidth="1"/>
    <col min="15173" max="15173" width="13.5703125" style="83" customWidth="1"/>
    <col min="15174" max="15406" width="9.140625" style="83"/>
    <col min="15407" max="15407" width="4.5703125" style="83" customWidth="1"/>
    <col min="15408" max="15408" width="46.140625" style="83" customWidth="1"/>
    <col min="15409" max="15409" width="9.42578125" style="83" customWidth="1"/>
    <col min="15410" max="15410" width="7.5703125" style="83" customWidth="1"/>
    <col min="15411" max="15411" width="8.140625" style="83" customWidth="1"/>
    <col min="15412" max="15412" width="12.140625" style="83" customWidth="1"/>
    <col min="15413" max="15413" width="11" style="83" customWidth="1"/>
    <col min="15414" max="15414" width="10.5703125" style="83" customWidth="1"/>
    <col min="15415" max="15417" width="9.28515625" style="83" customWidth="1"/>
    <col min="15418" max="15418" width="8.5703125" style="83" customWidth="1"/>
    <col min="15419" max="15420" width="8.42578125" style="83" customWidth="1"/>
    <col min="15421" max="15421" width="9" style="83" customWidth="1"/>
    <col min="15422" max="15422" width="7.42578125" style="83" customWidth="1"/>
    <col min="15423" max="15428" width="0" style="83" hidden="1" customWidth="1"/>
    <col min="15429" max="15429" width="13.5703125" style="83" customWidth="1"/>
    <col min="15430" max="15662" width="9.140625" style="83"/>
    <col min="15663" max="15663" width="4.5703125" style="83" customWidth="1"/>
    <col min="15664" max="15664" width="46.140625" style="83" customWidth="1"/>
    <col min="15665" max="15665" width="9.42578125" style="83" customWidth="1"/>
    <col min="15666" max="15666" width="7.5703125" style="83" customWidth="1"/>
    <col min="15667" max="15667" width="8.140625" style="83" customWidth="1"/>
    <col min="15668" max="15668" width="12.140625" style="83" customWidth="1"/>
    <col min="15669" max="15669" width="11" style="83" customWidth="1"/>
    <col min="15670" max="15670" width="10.5703125" style="83" customWidth="1"/>
    <col min="15671" max="15673" width="9.28515625" style="83" customWidth="1"/>
    <col min="15674" max="15674" width="8.5703125" style="83" customWidth="1"/>
    <col min="15675" max="15676" width="8.42578125" style="83" customWidth="1"/>
    <col min="15677" max="15677" width="9" style="83" customWidth="1"/>
    <col min="15678" max="15678" width="7.42578125" style="83" customWidth="1"/>
    <col min="15679" max="15684" width="0" style="83" hidden="1" customWidth="1"/>
    <col min="15685" max="15685" width="13.5703125" style="83" customWidth="1"/>
    <col min="15686" max="15918" width="9.140625" style="83"/>
    <col min="15919" max="15919" width="4.5703125" style="83" customWidth="1"/>
    <col min="15920" max="15920" width="46.140625" style="83" customWidth="1"/>
    <col min="15921" max="15921" width="9.42578125" style="83" customWidth="1"/>
    <col min="15922" max="15922" width="7.5703125" style="83" customWidth="1"/>
    <col min="15923" max="15923" width="8.140625" style="83" customWidth="1"/>
    <col min="15924" max="15924" width="12.140625" style="83" customWidth="1"/>
    <col min="15925" max="15925" width="11" style="83" customWidth="1"/>
    <col min="15926" max="15926" width="10.5703125" style="83" customWidth="1"/>
    <col min="15927" max="15929" width="9.28515625" style="83" customWidth="1"/>
    <col min="15930" max="15930" width="8.5703125" style="83" customWidth="1"/>
    <col min="15931" max="15932" width="8.42578125" style="83" customWidth="1"/>
    <col min="15933" max="15933" width="9" style="83" customWidth="1"/>
    <col min="15934" max="15934" width="7.42578125" style="83" customWidth="1"/>
    <col min="15935" max="15940" width="0" style="83" hidden="1" customWidth="1"/>
    <col min="15941" max="15941" width="13.5703125" style="83" customWidth="1"/>
    <col min="15942" max="16384" width="9.140625" style="83"/>
  </cols>
  <sheetData>
    <row r="1" spans="1:20" ht="16.5" customHeight="1" x14ac:dyDescent="0.25">
      <c r="A1" s="136"/>
      <c r="C1" s="180"/>
      <c r="D1" s="180"/>
      <c r="E1" s="180"/>
      <c r="H1" s="179"/>
      <c r="I1" s="179"/>
      <c r="J1" s="179"/>
      <c r="K1" s="179"/>
      <c r="L1" s="179"/>
      <c r="M1" s="475" t="s">
        <v>1247</v>
      </c>
      <c r="N1" s="475"/>
      <c r="O1" s="475"/>
      <c r="P1" s="475"/>
      <c r="Q1" s="182"/>
    </row>
    <row r="2" spans="1:20" ht="18.75" x14ac:dyDescent="0.3">
      <c r="A2" s="476" t="s">
        <v>1560</v>
      </c>
      <c r="B2" s="476"/>
      <c r="C2" s="476"/>
      <c r="D2" s="476"/>
      <c r="E2" s="476"/>
      <c r="F2" s="476"/>
      <c r="G2" s="476"/>
      <c r="H2" s="476"/>
      <c r="I2" s="476"/>
      <c r="J2" s="476"/>
      <c r="K2" s="476"/>
      <c r="L2" s="476"/>
      <c r="M2" s="476"/>
      <c r="N2" s="476"/>
      <c r="O2" s="476"/>
      <c r="P2" s="476"/>
      <c r="Q2" s="182"/>
    </row>
    <row r="3" spans="1:20" ht="18.75" x14ac:dyDescent="0.25">
      <c r="A3" s="417" t="str">
        <f>'PL 01'!A3:C3</f>
        <v>(Dự toán trình Hội đồng nhân dân huyện)</v>
      </c>
      <c r="B3" s="417"/>
      <c r="C3" s="417"/>
      <c r="D3" s="417"/>
      <c r="E3" s="417"/>
      <c r="F3" s="417"/>
      <c r="G3" s="417"/>
      <c r="H3" s="417"/>
      <c r="I3" s="417"/>
      <c r="J3" s="417"/>
      <c r="K3" s="417"/>
      <c r="L3" s="417"/>
      <c r="M3" s="417"/>
      <c r="N3" s="417"/>
      <c r="O3" s="417"/>
      <c r="P3" s="417"/>
      <c r="Q3" s="140"/>
    </row>
    <row r="4" spans="1:20" ht="16.5" customHeight="1" x14ac:dyDescent="0.25">
      <c r="A4" s="463" t="str">
        <f>'PL 01'!A4:C4</f>
        <v>(Kèm theo Báo cáo số: 431/BC-UBND ngày 29 tháng 12 năm 2023 của UBND huyện Phụng Hiệp)</v>
      </c>
      <c r="B4" s="463"/>
      <c r="C4" s="463"/>
      <c r="D4" s="463"/>
      <c r="E4" s="463"/>
      <c r="F4" s="463"/>
      <c r="G4" s="463"/>
      <c r="H4" s="463"/>
      <c r="I4" s="463"/>
      <c r="J4" s="463"/>
      <c r="K4" s="463"/>
      <c r="L4" s="463"/>
      <c r="M4" s="463"/>
      <c r="N4" s="463"/>
      <c r="O4" s="463"/>
      <c r="P4" s="463"/>
      <c r="Q4" s="140"/>
    </row>
    <row r="5" spans="1:20" ht="15.95" customHeight="1" x14ac:dyDescent="0.25">
      <c r="A5" s="136"/>
      <c r="C5" s="180"/>
      <c r="D5" s="180"/>
      <c r="E5" s="180"/>
      <c r="H5" s="304"/>
      <c r="I5" s="304"/>
      <c r="J5" s="304"/>
      <c r="K5" s="304"/>
      <c r="L5" s="304"/>
      <c r="M5" s="304"/>
      <c r="N5" s="467" t="s">
        <v>1109</v>
      </c>
      <c r="O5" s="467"/>
      <c r="P5" s="467"/>
      <c r="Q5" s="184"/>
    </row>
    <row r="6" spans="1:20" ht="18.75" customHeight="1" x14ac:dyDescent="0.25">
      <c r="A6" s="481" t="s">
        <v>1024</v>
      </c>
      <c r="B6" s="484" t="s">
        <v>1312</v>
      </c>
      <c r="C6" s="477" t="s">
        <v>1025</v>
      </c>
      <c r="D6" s="477"/>
      <c r="E6" s="478"/>
      <c r="F6" s="478" t="s">
        <v>1346</v>
      </c>
      <c r="G6" s="479"/>
      <c r="H6" s="479"/>
      <c r="I6" s="479"/>
      <c r="J6" s="479"/>
      <c r="K6" s="479"/>
      <c r="L6" s="479"/>
      <c r="M6" s="479"/>
      <c r="N6" s="479"/>
      <c r="O6" s="480"/>
      <c r="P6" s="481" t="s">
        <v>1026</v>
      </c>
      <c r="Q6" s="195"/>
    </row>
    <row r="7" spans="1:20" ht="15.95" customHeight="1" x14ac:dyDescent="0.25">
      <c r="A7" s="482"/>
      <c r="B7" s="485"/>
      <c r="C7" s="490" t="s">
        <v>130</v>
      </c>
      <c r="D7" s="490" t="s">
        <v>1027</v>
      </c>
      <c r="E7" s="492" t="s">
        <v>1028</v>
      </c>
      <c r="F7" s="487" t="s">
        <v>1029</v>
      </c>
      <c r="G7" s="496" t="s">
        <v>1030</v>
      </c>
      <c r="H7" s="497"/>
      <c r="I7" s="497"/>
      <c r="J7" s="497"/>
      <c r="K7" s="497"/>
      <c r="L7" s="497"/>
      <c r="M7" s="497"/>
      <c r="N7" s="498"/>
      <c r="O7" s="493" t="s">
        <v>1031</v>
      </c>
      <c r="P7" s="482"/>
      <c r="Q7" s="195"/>
    </row>
    <row r="8" spans="1:20" ht="15.95" customHeight="1" x14ac:dyDescent="0.25">
      <c r="A8" s="482"/>
      <c r="B8" s="485"/>
      <c r="C8" s="490"/>
      <c r="D8" s="490"/>
      <c r="E8" s="492"/>
      <c r="F8" s="488"/>
      <c r="G8" s="488" t="s">
        <v>1032</v>
      </c>
      <c r="H8" s="502" t="s">
        <v>162</v>
      </c>
      <c r="I8" s="503"/>
      <c r="J8" s="503"/>
      <c r="K8" s="503"/>
      <c r="L8" s="503"/>
      <c r="M8" s="503"/>
      <c r="N8" s="504"/>
      <c r="O8" s="494"/>
      <c r="P8" s="482"/>
      <c r="Q8" s="195"/>
    </row>
    <row r="9" spans="1:20" ht="15.95" customHeight="1" x14ac:dyDescent="0.25">
      <c r="A9" s="482"/>
      <c r="B9" s="485"/>
      <c r="C9" s="490"/>
      <c r="D9" s="490"/>
      <c r="E9" s="492"/>
      <c r="F9" s="488"/>
      <c r="G9" s="488"/>
      <c r="H9" s="487" t="s">
        <v>1033</v>
      </c>
      <c r="I9" s="487" t="s">
        <v>1034</v>
      </c>
      <c r="J9" s="487" t="s">
        <v>1275</v>
      </c>
      <c r="K9" s="487" t="s">
        <v>1477</v>
      </c>
      <c r="L9" s="499" t="s">
        <v>1557</v>
      </c>
      <c r="M9" s="487" t="s">
        <v>1035</v>
      </c>
      <c r="N9" s="487" t="s">
        <v>1221</v>
      </c>
      <c r="O9" s="494"/>
      <c r="P9" s="482"/>
      <c r="Q9" s="195"/>
    </row>
    <row r="10" spans="1:20" ht="15.95" customHeight="1" x14ac:dyDescent="0.25">
      <c r="A10" s="482"/>
      <c r="B10" s="485"/>
      <c r="C10" s="490"/>
      <c r="D10" s="490"/>
      <c r="E10" s="490"/>
      <c r="F10" s="488"/>
      <c r="G10" s="488"/>
      <c r="H10" s="488"/>
      <c r="I10" s="488"/>
      <c r="J10" s="488"/>
      <c r="K10" s="488"/>
      <c r="L10" s="500"/>
      <c r="M10" s="488"/>
      <c r="N10" s="488"/>
      <c r="O10" s="494"/>
      <c r="P10" s="482"/>
      <c r="Q10" s="195"/>
    </row>
    <row r="11" spans="1:20" ht="15.95" customHeight="1" x14ac:dyDescent="0.25">
      <c r="A11" s="482"/>
      <c r="B11" s="485"/>
      <c r="C11" s="490"/>
      <c r="D11" s="490"/>
      <c r="E11" s="490"/>
      <c r="F11" s="488"/>
      <c r="G11" s="488"/>
      <c r="H11" s="488"/>
      <c r="I11" s="488"/>
      <c r="J11" s="488"/>
      <c r="K11" s="488"/>
      <c r="L11" s="500"/>
      <c r="M11" s="488"/>
      <c r="N11" s="488"/>
      <c r="O11" s="494"/>
      <c r="P11" s="482"/>
      <c r="Q11" s="195"/>
    </row>
    <row r="12" spans="1:20" ht="38.25" customHeight="1" x14ac:dyDescent="0.25">
      <c r="A12" s="482"/>
      <c r="B12" s="485"/>
      <c r="C12" s="490"/>
      <c r="D12" s="490"/>
      <c r="E12" s="490"/>
      <c r="F12" s="488"/>
      <c r="G12" s="488"/>
      <c r="H12" s="488"/>
      <c r="I12" s="488"/>
      <c r="J12" s="488"/>
      <c r="K12" s="488"/>
      <c r="L12" s="500"/>
      <c r="M12" s="488"/>
      <c r="N12" s="488"/>
      <c r="O12" s="494"/>
      <c r="P12" s="482"/>
      <c r="Q12" s="195"/>
    </row>
    <row r="13" spans="1:20" ht="5.25" customHeight="1" x14ac:dyDescent="0.25">
      <c r="A13" s="483"/>
      <c r="B13" s="486"/>
      <c r="C13" s="491"/>
      <c r="D13" s="491"/>
      <c r="E13" s="491"/>
      <c r="F13" s="489"/>
      <c r="G13" s="489"/>
      <c r="H13" s="489"/>
      <c r="I13" s="489"/>
      <c r="J13" s="489"/>
      <c r="K13" s="489"/>
      <c r="L13" s="501"/>
      <c r="M13" s="489"/>
      <c r="N13" s="489"/>
      <c r="O13" s="495"/>
      <c r="P13" s="483"/>
      <c r="Q13" s="136"/>
    </row>
    <row r="14" spans="1:20" s="21" customFormat="1" ht="15" x14ac:dyDescent="0.25">
      <c r="A14" s="371" t="s">
        <v>15</v>
      </c>
      <c r="B14" s="371" t="s">
        <v>16</v>
      </c>
      <c r="C14" s="398" t="s">
        <v>489</v>
      </c>
      <c r="D14" s="398">
        <v>2</v>
      </c>
      <c r="E14" s="398">
        <v>3</v>
      </c>
      <c r="F14" s="399" t="s">
        <v>1313</v>
      </c>
      <c r="G14" s="399" t="s">
        <v>1314</v>
      </c>
      <c r="H14" s="398">
        <v>6</v>
      </c>
      <c r="I14" s="398">
        <v>7</v>
      </c>
      <c r="J14" s="398">
        <v>8</v>
      </c>
      <c r="K14" s="398"/>
      <c r="L14" s="400">
        <v>9</v>
      </c>
      <c r="M14" s="398">
        <v>10</v>
      </c>
      <c r="N14" s="398">
        <v>11</v>
      </c>
      <c r="O14" s="398">
        <v>12</v>
      </c>
      <c r="P14" s="371">
        <v>13</v>
      </c>
      <c r="Q14" s="401"/>
      <c r="T14" s="402"/>
    </row>
    <row r="15" spans="1:20" s="182" customFormat="1" ht="14.25" x14ac:dyDescent="0.2">
      <c r="A15" s="336"/>
      <c r="B15" s="336" t="s">
        <v>1036</v>
      </c>
      <c r="C15" s="359">
        <f>SUM(C16+C20+C33+C72+C80+C81+C82)</f>
        <v>217</v>
      </c>
      <c r="D15" s="359">
        <f>SUM(D16+D20+D33+D72+D80+D81+D82)</f>
        <v>201</v>
      </c>
      <c r="E15" s="359">
        <f>SUM(E16+E20+E33+E72+E80+E81+E82)</f>
        <v>16</v>
      </c>
      <c r="F15" s="360">
        <f>SUM(F16+F20+F33+F72+F75+F80+F81+F82)</f>
        <v>219489.00670384002</v>
      </c>
      <c r="G15" s="360">
        <f t="shared" ref="G15:O15" si="0">SUM(G16+G20+G33+G72+G80+G81+G82)</f>
        <v>32387.449683200004</v>
      </c>
      <c r="H15" s="360">
        <f t="shared" si="0"/>
        <v>16982.893440000003</v>
      </c>
      <c r="I15" s="360">
        <f t="shared" si="0"/>
        <v>3780.4507631999995</v>
      </c>
      <c r="J15" s="360">
        <f t="shared" si="0"/>
        <v>5548.395480000001</v>
      </c>
      <c r="K15" s="360">
        <f t="shared" si="0"/>
        <v>107.5</v>
      </c>
      <c r="L15" s="360">
        <f t="shared" si="0"/>
        <v>627.21</v>
      </c>
      <c r="M15" s="360">
        <f t="shared" si="0"/>
        <v>5418</v>
      </c>
      <c r="N15" s="360">
        <f t="shared" si="0"/>
        <v>602.00000000000011</v>
      </c>
      <c r="O15" s="359">
        <f t="shared" si="0"/>
        <v>183939.05702064003</v>
      </c>
      <c r="P15" s="361"/>
      <c r="Q15" s="187"/>
      <c r="T15" s="186"/>
    </row>
    <row r="16" spans="1:20" ht="15" x14ac:dyDescent="0.25">
      <c r="A16" s="336" t="s">
        <v>83</v>
      </c>
      <c r="B16" s="336" t="s">
        <v>1037</v>
      </c>
      <c r="C16" s="359">
        <f>SUM(C17+C19)</f>
        <v>0</v>
      </c>
      <c r="D16" s="359">
        <f>SUM(D17+D19)</f>
        <v>0</v>
      </c>
      <c r="E16" s="359">
        <f>SUM(E17+E19)</f>
        <v>0</v>
      </c>
      <c r="F16" s="360">
        <f t="shared" ref="F16:O16" si="1">SUM(F17:F19)</f>
        <v>61091</v>
      </c>
      <c r="G16" s="360">
        <f t="shared" si="1"/>
        <v>0</v>
      </c>
      <c r="H16" s="360">
        <f t="shared" si="1"/>
        <v>0</v>
      </c>
      <c r="I16" s="360">
        <f t="shared" si="1"/>
        <v>0</v>
      </c>
      <c r="J16" s="360">
        <f t="shared" si="1"/>
        <v>0</v>
      </c>
      <c r="K16" s="360"/>
      <c r="L16" s="360">
        <f t="shared" si="1"/>
        <v>0</v>
      </c>
      <c r="M16" s="360">
        <f t="shared" si="1"/>
        <v>0</v>
      </c>
      <c r="N16" s="360">
        <f t="shared" si="1"/>
        <v>0</v>
      </c>
      <c r="O16" s="360">
        <f t="shared" si="1"/>
        <v>61091</v>
      </c>
      <c r="P16" s="362"/>
      <c r="Q16" s="188"/>
    </row>
    <row r="17" spans="1:21" ht="15" x14ac:dyDescent="0.25">
      <c r="A17" s="363">
        <v>1</v>
      </c>
      <c r="B17" s="364" t="s">
        <v>1504</v>
      </c>
      <c r="C17" s="365">
        <f>D17+E17</f>
        <v>0</v>
      </c>
      <c r="D17" s="365"/>
      <c r="E17" s="365"/>
      <c r="F17" s="366">
        <f>G17+O17</f>
        <v>12916</v>
      </c>
      <c r="G17" s="366">
        <f>H17+I17+J17+K17+L17+M17</f>
        <v>0</v>
      </c>
      <c r="H17" s="366"/>
      <c r="I17" s="366"/>
      <c r="J17" s="366"/>
      <c r="K17" s="366"/>
      <c r="L17" s="366"/>
      <c r="M17" s="366">
        <f>D17*20</f>
        <v>0</v>
      </c>
      <c r="N17" s="366"/>
      <c r="O17" s="367">
        <v>12916</v>
      </c>
      <c r="P17" s="368"/>
      <c r="Q17" s="188"/>
    </row>
    <row r="18" spans="1:21" ht="30" x14ac:dyDescent="0.25">
      <c r="A18" s="363">
        <v>2</v>
      </c>
      <c r="B18" s="369" t="s">
        <v>1273</v>
      </c>
      <c r="C18" s="365">
        <f>D18+E18</f>
        <v>0</v>
      </c>
      <c r="D18" s="365"/>
      <c r="E18" s="365"/>
      <c r="F18" s="366">
        <f>G18+O18</f>
        <v>18255</v>
      </c>
      <c r="G18" s="366">
        <f t="shared" ref="G18:G19" si="2">H18+I18+J18+K18+L18+M18</f>
        <v>0</v>
      </c>
      <c r="H18" s="366"/>
      <c r="I18" s="366"/>
      <c r="J18" s="366"/>
      <c r="K18" s="366"/>
      <c r="L18" s="366"/>
      <c r="M18" s="366"/>
      <c r="N18" s="366"/>
      <c r="O18" s="367">
        <v>18255</v>
      </c>
      <c r="P18" s="368"/>
      <c r="Q18" s="188">
        <f>59723+4000</f>
        <v>63723</v>
      </c>
    </row>
    <row r="19" spans="1:21" ht="15" x14ac:dyDescent="0.25">
      <c r="A19" s="363">
        <v>3</v>
      </c>
      <c r="B19" s="364" t="s">
        <v>1478</v>
      </c>
      <c r="C19" s="365"/>
      <c r="D19" s="365"/>
      <c r="E19" s="365"/>
      <c r="F19" s="366">
        <f>G19+O19</f>
        <v>29920</v>
      </c>
      <c r="G19" s="366">
        <f t="shared" si="2"/>
        <v>0</v>
      </c>
      <c r="H19" s="366"/>
      <c r="I19" s="366"/>
      <c r="J19" s="366"/>
      <c r="K19" s="366"/>
      <c r="L19" s="366"/>
      <c r="M19" s="366"/>
      <c r="N19" s="366"/>
      <c r="O19" s="365">
        <v>29920</v>
      </c>
      <c r="P19" s="368"/>
      <c r="R19" s="138"/>
    </row>
    <row r="20" spans="1:21" s="184" customFormat="1" ht="15" x14ac:dyDescent="0.25">
      <c r="A20" s="336" t="s">
        <v>70</v>
      </c>
      <c r="B20" s="336" t="s">
        <v>1039</v>
      </c>
      <c r="C20" s="359">
        <f>SUM(C21+C26+C27+C28+C29)</f>
        <v>52</v>
      </c>
      <c r="D20" s="359">
        <f>SUM(D21+D26+D27+D28+D29)</f>
        <v>48</v>
      </c>
      <c r="E20" s="359">
        <f>SUM(E21+E26+E27+E28+E29)</f>
        <v>4</v>
      </c>
      <c r="F20" s="359">
        <f t="shared" ref="F20:O20" si="3">SUM(F21+F26+F27+F28+F29)</f>
        <v>96076.430293600002</v>
      </c>
      <c r="G20" s="359">
        <f t="shared" si="3"/>
        <v>6495.3502935999995</v>
      </c>
      <c r="H20" s="359">
        <f t="shared" si="3"/>
        <v>3734.5377599999997</v>
      </c>
      <c r="I20" s="359">
        <f t="shared" si="3"/>
        <v>877.61637359999986</v>
      </c>
      <c r="J20" s="359">
        <f t="shared" si="3"/>
        <v>443.39616000000001</v>
      </c>
      <c r="K20" s="359">
        <f t="shared" si="3"/>
        <v>22.5</v>
      </c>
      <c r="L20" s="359">
        <f t="shared" si="3"/>
        <v>106.9</v>
      </c>
      <c r="M20" s="359">
        <f t="shared" si="3"/>
        <v>1310.4000000000001</v>
      </c>
      <c r="N20" s="359">
        <f t="shared" si="3"/>
        <v>145.60000000000002</v>
      </c>
      <c r="O20" s="359">
        <f t="shared" si="3"/>
        <v>89581.08</v>
      </c>
      <c r="P20" s="370"/>
      <c r="R20" s="189"/>
      <c r="T20" s="190"/>
    </row>
    <row r="21" spans="1:21" s="201" customFormat="1" ht="15" x14ac:dyDescent="0.25">
      <c r="A21" s="185">
        <v>1</v>
      </c>
      <c r="B21" s="364" t="s">
        <v>1040</v>
      </c>
      <c r="C21" s="365">
        <f t="shared" ref="C21:E21" si="4">SUM(C22:C25)</f>
        <v>24</v>
      </c>
      <c r="D21" s="365">
        <f t="shared" si="4"/>
        <v>23</v>
      </c>
      <c r="E21" s="365">
        <f t="shared" si="4"/>
        <v>1</v>
      </c>
      <c r="F21" s="365">
        <f t="shared" ref="F21:O21" si="5">SUM(F22:F25)</f>
        <v>3258.46976</v>
      </c>
      <c r="G21" s="365">
        <f>SUM(G22:G25)</f>
        <v>2113.46976</v>
      </c>
      <c r="H21" s="365">
        <f t="shared" si="5"/>
        <v>1182.8160000000003</v>
      </c>
      <c r="I21" s="365">
        <f t="shared" si="5"/>
        <v>277.96175999999997</v>
      </c>
      <c r="J21" s="365">
        <f t="shared" si="5"/>
        <v>4.32</v>
      </c>
      <c r="K21" s="365">
        <f>SUM(K22:K25)</f>
        <v>9</v>
      </c>
      <c r="L21" s="365">
        <f t="shared" si="5"/>
        <v>34.572000000000003</v>
      </c>
      <c r="M21" s="365">
        <f t="shared" si="5"/>
        <v>604.80000000000007</v>
      </c>
      <c r="N21" s="365">
        <f t="shared" si="5"/>
        <v>67.2</v>
      </c>
      <c r="O21" s="365">
        <f t="shared" si="5"/>
        <v>1145</v>
      </c>
      <c r="P21" s="364"/>
      <c r="R21" s="202"/>
      <c r="T21" s="203"/>
    </row>
    <row r="22" spans="1:21" s="201" customFormat="1" ht="15" x14ac:dyDescent="0.25">
      <c r="A22" s="371"/>
      <c r="B22" s="372" t="s">
        <v>1041</v>
      </c>
      <c r="C22" s="373">
        <f t="shared" ref="C22:C28" si="6">D22+E22</f>
        <v>9</v>
      </c>
      <c r="D22" s="373">
        <v>9</v>
      </c>
      <c r="E22" s="373"/>
      <c r="F22" s="374">
        <f t="shared" ref="F22:F28" si="7">G22+O22</f>
        <v>1268.97308</v>
      </c>
      <c r="G22" s="374">
        <f>H22+I22+J22+K22+L22+M22</f>
        <v>690.97307999999998</v>
      </c>
      <c r="H22" s="374">
        <f>(15.33+0.5)*1.8*12</f>
        <v>341.928</v>
      </c>
      <c r="I22" s="374">
        <f>H22*23.5%</f>
        <v>80.353079999999991</v>
      </c>
      <c r="J22" s="374">
        <f>0.2*1.8*12</f>
        <v>4.32</v>
      </c>
      <c r="K22" s="374">
        <v>3</v>
      </c>
      <c r="L22" s="375">
        <v>34.572000000000003</v>
      </c>
      <c r="M22" s="374">
        <f>SUM(C22*28*90%)</f>
        <v>226.8</v>
      </c>
      <c r="N22" s="374">
        <f>SUM(C22*28*10%)</f>
        <v>25.200000000000003</v>
      </c>
      <c r="O22" s="373">
        <v>578</v>
      </c>
      <c r="P22" s="372"/>
      <c r="T22" s="203"/>
    </row>
    <row r="23" spans="1:21" s="201" customFormat="1" ht="15" x14ac:dyDescent="0.25">
      <c r="A23" s="371"/>
      <c r="B23" s="372" t="s">
        <v>1042</v>
      </c>
      <c r="C23" s="373">
        <f t="shared" si="6"/>
        <v>3</v>
      </c>
      <c r="D23" s="373">
        <v>3</v>
      </c>
      <c r="E23" s="373"/>
      <c r="F23" s="374">
        <f t="shared" si="7"/>
        <v>256.66300000000001</v>
      </c>
      <c r="G23" s="374">
        <f t="shared" ref="G23:G25" si="8">H23+I23+J23+K23+L23+M23</f>
        <v>256.66300000000001</v>
      </c>
      <c r="H23" s="374">
        <f>(6.6+0.15)*1.8*12</f>
        <v>145.80000000000001</v>
      </c>
      <c r="I23" s="374">
        <f>H23*23.5%</f>
        <v>34.262999999999998</v>
      </c>
      <c r="J23" s="374"/>
      <c r="K23" s="374">
        <v>1</v>
      </c>
      <c r="L23" s="375"/>
      <c r="M23" s="374">
        <f>SUM(C23*28*90%)</f>
        <v>75.600000000000009</v>
      </c>
      <c r="N23" s="374">
        <f>SUM(C23*28*10%)</f>
        <v>8.4</v>
      </c>
      <c r="O23" s="373"/>
      <c r="P23" s="372"/>
      <c r="T23" s="203"/>
    </row>
    <row r="24" spans="1:21" s="201" customFormat="1" ht="15" x14ac:dyDescent="0.25">
      <c r="A24" s="371"/>
      <c r="B24" s="376" t="s">
        <v>1311</v>
      </c>
      <c r="C24" s="373">
        <f t="shared" si="6"/>
        <v>10</v>
      </c>
      <c r="D24" s="373">
        <v>9</v>
      </c>
      <c r="E24" s="373">
        <v>1</v>
      </c>
      <c r="F24" s="374">
        <f t="shared" si="7"/>
        <v>1242.3776800000001</v>
      </c>
      <c r="G24" s="374">
        <f>H24+I24+J24+K24+L24+M24</f>
        <v>954.37768000000005</v>
      </c>
      <c r="H24" s="374">
        <f>(25.98+0.2)*1.8*12</f>
        <v>565.48800000000006</v>
      </c>
      <c r="I24" s="374">
        <f>H24*23.5%</f>
        <v>132.88968</v>
      </c>
      <c r="J24" s="374"/>
      <c r="K24" s="374">
        <v>4</v>
      </c>
      <c r="L24" s="375"/>
      <c r="M24" s="374">
        <f>SUM(C24*28*90%)</f>
        <v>252</v>
      </c>
      <c r="N24" s="374">
        <f>SUM(C24*28*10%)</f>
        <v>28</v>
      </c>
      <c r="O24" s="373">
        <v>288</v>
      </c>
      <c r="P24" s="372"/>
      <c r="T24" s="203"/>
    </row>
    <row r="25" spans="1:21" s="201" customFormat="1" ht="15" x14ac:dyDescent="0.25">
      <c r="A25" s="371"/>
      <c r="B25" s="372" t="s">
        <v>1043</v>
      </c>
      <c r="C25" s="373">
        <f t="shared" si="6"/>
        <v>2</v>
      </c>
      <c r="D25" s="373">
        <v>2</v>
      </c>
      <c r="E25" s="373"/>
      <c r="F25" s="374">
        <f t="shared" si="7"/>
        <v>490.45600000000002</v>
      </c>
      <c r="G25" s="374">
        <f t="shared" si="8"/>
        <v>211.45600000000005</v>
      </c>
      <c r="H25" s="374">
        <f>6*1.8*12</f>
        <v>129.60000000000002</v>
      </c>
      <c r="I25" s="374">
        <f>H25*23.5%</f>
        <v>30.456000000000003</v>
      </c>
      <c r="J25" s="374"/>
      <c r="K25" s="374">
        <v>1</v>
      </c>
      <c r="L25" s="375"/>
      <c r="M25" s="374">
        <f>SUM(C25*28*90%)</f>
        <v>50.4</v>
      </c>
      <c r="N25" s="374">
        <f>SUM(C25*28*10%)</f>
        <v>5.6000000000000005</v>
      </c>
      <c r="O25" s="373">
        <v>279</v>
      </c>
      <c r="P25" s="372"/>
      <c r="T25" s="203"/>
    </row>
    <row r="26" spans="1:21" ht="15" x14ac:dyDescent="0.25">
      <c r="A26" s="185">
        <v>2</v>
      </c>
      <c r="B26" s="364" t="s">
        <v>1045</v>
      </c>
      <c r="C26" s="365">
        <f t="shared" si="6"/>
        <v>0</v>
      </c>
      <c r="D26" s="365"/>
      <c r="E26" s="365"/>
      <c r="F26" s="366">
        <f t="shared" si="7"/>
        <v>76000</v>
      </c>
      <c r="G26" s="366">
        <f>H26+I26+J26+K26+L26+M26</f>
        <v>0</v>
      </c>
      <c r="H26" s="366"/>
      <c r="I26" s="366"/>
      <c r="J26" s="366"/>
      <c r="K26" s="366"/>
      <c r="L26" s="366"/>
      <c r="M26" s="366"/>
      <c r="N26" s="366"/>
      <c r="O26" s="365">
        <v>76000</v>
      </c>
      <c r="P26" s="364"/>
      <c r="S26" s="191" t="s">
        <v>1222</v>
      </c>
      <c r="T26" s="160">
        <f>204160+9292+11280+9482+5867</f>
        <v>240081</v>
      </c>
      <c r="U26" s="141"/>
    </row>
    <row r="27" spans="1:21" ht="15" x14ac:dyDescent="0.25">
      <c r="A27" s="185">
        <v>3</v>
      </c>
      <c r="B27" s="364" t="s">
        <v>1046</v>
      </c>
      <c r="C27" s="365">
        <f t="shared" si="6"/>
        <v>0</v>
      </c>
      <c r="D27" s="365"/>
      <c r="E27" s="365"/>
      <c r="F27" s="366">
        <f t="shared" si="7"/>
        <v>560</v>
      </c>
      <c r="G27" s="366">
        <f t="shared" ref="G27:G28" si="9">H27+I27+J27+K27+L27+M27</f>
        <v>0</v>
      </c>
      <c r="H27" s="366"/>
      <c r="I27" s="366"/>
      <c r="J27" s="366"/>
      <c r="K27" s="366"/>
      <c r="L27" s="366"/>
      <c r="M27" s="366"/>
      <c r="N27" s="366"/>
      <c r="O27" s="365">
        <v>560</v>
      </c>
      <c r="P27" s="364"/>
      <c r="Q27" s="180"/>
      <c r="S27" s="136" t="s">
        <v>1223</v>
      </c>
      <c r="T27" s="161" t="e">
        <f>T26-SUM(#REF!)</f>
        <v>#REF!</v>
      </c>
      <c r="U27" s="141"/>
    </row>
    <row r="28" spans="1:21" ht="15" x14ac:dyDescent="0.25">
      <c r="A28" s="185">
        <v>4</v>
      </c>
      <c r="B28" s="364" t="s">
        <v>1047</v>
      </c>
      <c r="C28" s="365">
        <f t="shared" si="6"/>
        <v>0</v>
      </c>
      <c r="D28" s="365"/>
      <c r="E28" s="365"/>
      <c r="F28" s="366">
        <f t="shared" si="7"/>
        <v>8828</v>
      </c>
      <c r="G28" s="366">
        <f t="shared" si="9"/>
        <v>0</v>
      </c>
      <c r="H28" s="366"/>
      <c r="I28" s="366"/>
      <c r="J28" s="366"/>
      <c r="K28" s="366"/>
      <c r="L28" s="366"/>
      <c r="M28" s="366"/>
      <c r="N28" s="366"/>
      <c r="O28" s="365">
        <v>8828</v>
      </c>
      <c r="P28" s="364"/>
      <c r="Q28" s="180"/>
      <c r="S28" s="136" t="s">
        <v>1224</v>
      </c>
      <c r="T28" s="191" t="e">
        <f>T27*10%</f>
        <v>#REF!</v>
      </c>
      <c r="U28" s="141"/>
    </row>
    <row r="29" spans="1:21" s="205" customFormat="1" ht="15" x14ac:dyDescent="0.25">
      <c r="A29" s="185">
        <v>5</v>
      </c>
      <c r="B29" s="377" t="s">
        <v>1048</v>
      </c>
      <c r="C29" s="365">
        <f>SUM(C30:C32)</f>
        <v>28</v>
      </c>
      <c r="D29" s="365">
        <f>SUM(D30:D32)</f>
        <v>25</v>
      </c>
      <c r="E29" s="365">
        <f t="shared" ref="E29:L29" si="10">SUM(E30:E32)</f>
        <v>3</v>
      </c>
      <c r="F29" s="366">
        <f>SUM(F30:F32)</f>
        <v>7429.9605335999995</v>
      </c>
      <c r="G29" s="366">
        <f>H29+I29+J29+K29+L29+M29</f>
        <v>4381.8805335999996</v>
      </c>
      <c r="H29" s="366">
        <f t="shared" si="10"/>
        <v>2551.7217599999994</v>
      </c>
      <c r="I29" s="366">
        <f t="shared" si="10"/>
        <v>599.65461359999983</v>
      </c>
      <c r="J29" s="366">
        <f t="shared" si="10"/>
        <v>439.07616000000002</v>
      </c>
      <c r="K29" s="366">
        <f t="shared" si="10"/>
        <v>13.5</v>
      </c>
      <c r="L29" s="366">
        <f t="shared" si="10"/>
        <v>72.328000000000003</v>
      </c>
      <c r="M29" s="366">
        <f>SUM(M30:M32)</f>
        <v>705.6</v>
      </c>
      <c r="N29" s="366">
        <f>SUM(N30:N32)</f>
        <v>78.400000000000006</v>
      </c>
      <c r="O29" s="366">
        <f>SUM(O30:O32)</f>
        <v>3048.08</v>
      </c>
      <c r="P29" s="366"/>
      <c r="Q29" s="204"/>
      <c r="T29" s="206"/>
    </row>
    <row r="30" spans="1:21" s="182" customFormat="1" ht="15" x14ac:dyDescent="0.25">
      <c r="A30" s="185"/>
      <c r="B30" s="364" t="s">
        <v>1473</v>
      </c>
      <c r="C30" s="365">
        <f>D30+E30</f>
        <v>5</v>
      </c>
      <c r="D30" s="365">
        <v>4</v>
      </c>
      <c r="E30" s="365">
        <v>1</v>
      </c>
      <c r="F30" s="366">
        <f>G30+O30</f>
        <v>3079.1576888</v>
      </c>
      <c r="G30" s="366">
        <f>H30+I30+J30+K30+L30+M30</f>
        <v>731.07768880000015</v>
      </c>
      <c r="H30" s="366">
        <f>(15.63+0.2+0.4482+1.8456)*1.8*12</f>
        <v>391.47408000000007</v>
      </c>
      <c r="I30" s="366">
        <f>H30*23.5%</f>
        <v>91.996408800000012</v>
      </c>
      <c r="J30" s="366">
        <f>(3.8845+0.1)*1.8*12</f>
        <v>86.065200000000004</v>
      </c>
      <c r="K30" s="366">
        <v>3</v>
      </c>
      <c r="L30" s="366">
        <v>32.542000000000002</v>
      </c>
      <c r="M30" s="366">
        <f>SUM(C30*28*90%)</f>
        <v>126</v>
      </c>
      <c r="N30" s="366">
        <f>SUM(C30*28*10%)</f>
        <v>14</v>
      </c>
      <c r="O30" s="378">
        <v>2348.08</v>
      </c>
      <c r="P30" s="378"/>
      <c r="S30" s="83" t="s">
        <v>1285</v>
      </c>
      <c r="T30" s="186"/>
    </row>
    <row r="31" spans="1:21" ht="15" x14ac:dyDescent="0.25">
      <c r="A31" s="185"/>
      <c r="B31" s="364" t="s">
        <v>1274</v>
      </c>
      <c r="C31" s="365">
        <f>D31+E31</f>
        <v>0</v>
      </c>
      <c r="D31" s="365"/>
      <c r="E31" s="365"/>
      <c r="F31" s="366">
        <f>G31+O31</f>
        <v>700</v>
      </c>
      <c r="G31" s="366">
        <f>H31+I31+J31+K31+L31+M31</f>
        <v>0</v>
      </c>
      <c r="H31" s="366"/>
      <c r="I31" s="366"/>
      <c r="J31" s="366"/>
      <c r="K31" s="366"/>
      <c r="L31" s="366"/>
      <c r="M31" s="366">
        <f>D31*18</f>
        <v>0</v>
      </c>
      <c r="N31" s="366"/>
      <c r="O31" s="378">
        <v>700</v>
      </c>
      <c r="P31" s="364"/>
      <c r="Q31" s="192"/>
    </row>
    <row r="32" spans="1:21" ht="15" x14ac:dyDescent="0.25">
      <c r="A32" s="185"/>
      <c r="B32" s="364" t="s">
        <v>1049</v>
      </c>
      <c r="C32" s="365">
        <f>D32+E32</f>
        <v>23</v>
      </c>
      <c r="D32" s="365">
        <v>21</v>
      </c>
      <c r="E32" s="365">
        <f>1+1</f>
        <v>2</v>
      </c>
      <c r="F32" s="366">
        <f>G32+O32</f>
        <v>3650.8028447999995</v>
      </c>
      <c r="G32" s="366">
        <f>H32+I32+J32+K32+L32+M32</f>
        <v>3650.8028447999995</v>
      </c>
      <c r="H32" s="366">
        <f>(78.66+2.65+1.5936+12.6612)*1.8*12+(8.004*12)</f>
        <v>2160.2476799999995</v>
      </c>
      <c r="I32" s="366">
        <f>H32*23.5%</f>
        <v>507.65820479999985</v>
      </c>
      <c r="J32" s="366">
        <f>(0.1+16.2431)*1.8*12</f>
        <v>353.01096000000001</v>
      </c>
      <c r="K32" s="366">
        <v>10.5</v>
      </c>
      <c r="L32" s="366">
        <v>39.786000000000001</v>
      </c>
      <c r="M32" s="366">
        <f>SUM(C32*28*90%)</f>
        <v>579.6</v>
      </c>
      <c r="N32" s="366">
        <f>SUM(C32*28*10%)</f>
        <v>64.400000000000006</v>
      </c>
      <c r="O32" s="378"/>
      <c r="P32" s="364"/>
      <c r="Q32" s="192"/>
    </row>
    <row r="33" spans="1:20" ht="15" x14ac:dyDescent="0.25">
      <c r="A33" s="336" t="s">
        <v>73</v>
      </c>
      <c r="B33" s="336" t="s">
        <v>1050</v>
      </c>
      <c r="C33" s="359">
        <f t="shared" ref="C33:O33" si="11">SUM(C34+C48+C54+C62)</f>
        <v>165</v>
      </c>
      <c r="D33" s="359">
        <f t="shared" si="11"/>
        <v>153</v>
      </c>
      <c r="E33" s="359">
        <f t="shared" si="11"/>
        <v>12</v>
      </c>
      <c r="F33" s="360">
        <f t="shared" si="11"/>
        <v>35816.929389600002</v>
      </c>
      <c r="G33" s="360">
        <f>SUM(G34+G48+G54+G62)</f>
        <v>25892.099389600004</v>
      </c>
      <c r="H33" s="360">
        <f t="shared" si="11"/>
        <v>13248.355680000002</v>
      </c>
      <c r="I33" s="360">
        <f t="shared" si="11"/>
        <v>2902.8343895999997</v>
      </c>
      <c r="J33" s="360">
        <f t="shared" si="11"/>
        <v>5104.9993200000008</v>
      </c>
      <c r="K33" s="360">
        <f t="shared" si="11"/>
        <v>85</v>
      </c>
      <c r="L33" s="360">
        <f t="shared" si="11"/>
        <v>520.31000000000006</v>
      </c>
      <c r="M33" s="360">
        <f t="shared" si="11"/>
        <v>4107.6000000000004</v>
      </c>
      <c r="N33" s="360">
        <f t="shared" si="11"/>
        <v>456.40000000000009</v>
      </c>
      <c r="O33" s="360">
        <f t="shared" si="11"/>
        <v>9868.3300000000017</v>
      </c>
      <c r="P33" s="361"/>
      <c r="Q33" s="192"/>
    </row>
    <row r="34" spans="1:20" ht="15" x14ac:dyDescent="0.25">
      <c r="A34" s="336" t="s">
        <v>1051</v>
      </c>
      <c r="B34" s="336" t="s">
        <v>1052</v>
      </c>
      <c r="C34" s="359">
        <f>SUM(C35:C47)</f>
        <v>92</v>
      </c>
      <c r="D34" s="359">
        <f>SUM(D35:D47)</f>
        <v>88</v>
      </c>
      <c r="E34" s="359">
        <f>SUM(E35:E47)</f>
        <v>4</v>
      </c>
      <c r="F34" s="360">
        <f>SUM(F35:F47)</f>
        <v>18974.698052</v>
      </c>
      <c r="G34" s="360">
        <f t="shared" ref="G34:G48" si="12">H34+I34+J34+L34+M34</f>
        <v>14708.928052000001</v>
      </c>
      <c r="H34" s="360">
        <f t="shared" ref="H34:N34" si="13">SUM(H35:H47)</f>
        <v>7899.4267200000004</v>
      </c>
      <c r="I34" s="360">
        <f t="shared" si="13"/>
        <v>1779.9716519999999</v>
      </c>
      <c r="J34" s="360">
        <f t="shared" si="13"/>
        <v>2390.5726800000002</v>
      </c>
      <c r="K34" s="360">
        <f t="shared" si="13"/>
        <v>47</v>
      </c>
      <c r="L34" s="360">
        <f t="shared" si="13"/>
        <v>320.55700000000002</v>
      </c>
      <c r="M34" s="360">
        <f t="shared" si="13"/>
        <v>2318.4</v>
      </c>
      <c r="N34" s="360">
        <f t="shared" si="13"/>
        <v>257.60000000000002</v>
      </c>
      <c r="O34" s="359">
        <f>O35+SUM(O38:O47)</f>
        <v>4218.7700000000004</v>
      </c>
      <c r="P34" s="370"/>
      <c r="Q34" s="192"/>
    </row>
    <row r="35" spans="1:20" s="201" customFormat="1" ht="15" x14ac:dyDescent="0.25">
      <c r="A35" s="185">
        <v>1</v>
      </c>
      <c r="B35" s="364" t="s">
        <v>1053</v>
      </c>
      <c r="C35" s="365">
        <f t="shared" ref="C35:C45" si="14">D35+E35</f>
        <v>26</v>
      </c>
      <c r="D35" s="365">
        <v>22</v>
      </c>
      <c r="E35" s="365">
        <v>4</v>
      </c>
      <c r="F35" s="366">
        <f>G35+O35</f>
        <v>7394.6055999999999</v>
      </c>
      <c r="G35" s="366">
        <f>H35+I35+J35+K35+L35+M35</f>
        <v>4322.6055999999999</v>
      </c>
      <c r="H35" s="366">
        <f>(86.05+4.7+0.996+12.04)*1.8*12</f>
        <v>2241.7776000000003</v>
      </c>
      <c r="I35" s="366">
        <f>(86.05+4.7+0.996)*1.8*12*22.5%+(12.04*1.8*12*23.5%)</f>
        <v>507.00060000000002</v>
      </c>
      <c r="J35" s="366">
        <f>H35*25%+(0.1+(32*0.4)+(0.1*7)+(0.07*7))*1.8*12</f>
        <v>864.78840000000014</v>
      </c>
      <c r="K35" s="366">
        <v>14</v>
      </c>
      <c r="L35" s="366">
        <v>39.838999999999999</v>
      </c>
      <c r="M35" s="366">
        <f>SUM(C35*28*90%)</f>
        <v>655.20000000000005</v>
      </c>
      <c r="N35" s="366">
        <f>SUM(C35*28*10%)</f>
        <v>72.8</v>
      </c>
      <c r="O35" s="365">
        <f>O36+O37</f>
        <v>3072</v>
      </c>
      <c r="P35" s="379"/>
      <c r="Q35" s="207"/>
      <c r="T35" s="203"/>
    </row>
    <row r="36" spans="1:20" s="201" customFormat="1" ht="15" x14ac:dyDescent="0.25">
      <c r="A36" s="185"/>
      <c r="B36" s="364" t="s">
        <v>1479</v>
      </c>
      <c r="C36" s="365"/>
      <c r="D36" s="365"/>
      <c r="E36" s="365"/>
      <c r="F36" s="366"/>
      <c r="G36" s="366">
        <f>H36+I36+J36+K36+L36+M36</f>
        <v>0</v>
      </c>
      <c r="H36" s="366"/>
      <c r="I36" s="366"/>
      <c r="J36" s="366"/>
      <c r="K36" s="366"/>
      <c r="L36" s="366"/>
      <c r="M36" s="366"/>
      <c r="N36" s="366"/>
      <c r="O36" s="365">
        <v>2572</v>
      </c>
      <c r="P36" s="379"/>
      <c r="Q36" s="207"/>
      <c r="T36" s="203"/>
    </row>
    <row r="37" spans="1:20" s="201" customFormat="1" ht="15" x14ac:dyDescent="0.25">
      <c r="A37" s="185"/>
      <c r="B37" s="364" t="s">
        <v>1480</v>
      </c>
      <c r="C37" s="365"/>
      <c r="D37" s="365"/>
      <c r="E37" s="365"/>
      <c r="F37" s="366"/>
      <c r="G37" s="366">
        <f t="shared" ref="G37:G61" si="15">H37+I37+J37+K37+L37+M37</f>
        <v>0</v>
      </c>
      <c r="H37" s="366"/>
      <c r="I37" s="366"/>
      <c r="J37" s="366"/>
      <c r="K37" s="366"/>
      <c r="L37" s="366"/>
      <c r="M37" s="366"/>
      <c r="N37" s="366"/>
      <c r="O37" s="365">
        <v>500</v>
      </c>
      <c r="P37" s="379"/>
      <c r="Q37" s="207"/>
      <c r="T37" s="203"/>
    </row>
    <row r="38" spans="1:20" s="201" customFormat="1" ht="15" x14ac:dyDescent="0.25">
      <c r="A38" s="185">
        <v>2</v>
      </c>
      <c r="B38" s="364" t="s">
        <v>1056</v>
      </c>
      <c r="C38" s="365">
        <f t="shared" si="14"/>
        <v>6</v>
      </c>
      <c r="D38" s="365">
        <v>6</v>
      </c>
      <c r="E38" s="365"/>
      <c r="F38" s="366">
        <f t="shared" ref="F38:F46" si="16">G38+O38</f>
        <v>1537.5551399999999</v>
      </c>
      <c r="G38" s="366">
        <f t="shared" si="15"/>
        <v>1043.3051399999999</v>
      </c>
      <c r="H38" s="366">
        <f>(25.35+0.7+0.349)*1.8*12</f>
        <v>570.21839999999997</v>
      </c>
      <c r="I38" s="366">
        <f>H38*22.5%</f>
        <v>128.29913999999999</v>
      </c>
      <c r="J38" s="366">
        <f>H38*25%</f>
        <v>142.55459999999999</v>
      </c>
      <c r="K38" s="366">
        <v>3</v>
      </c>
      <c r="L38" s="366">
        <v>48.033000000000001</v>
      </c>
      <c r="M38" s="366">
        <f t="shared" ref="M38:M47" si="17">SUM(C38*28*90%)</f>
        <v>151.20000000000002</v>
      </c>
      <c r="N38" s="366">
        <f t="shared" ref="N38:N47" si="18">SUM(C38*28*10%)</f>
        <v>16.8</v>
      </c>
      <c r="O38" s="378">
        <v>494.25</v>
      </c>
      <c r="P38" s="364"/>
      <c r="Q38" s="207"/>
      <c r="T38" s="203"/>
    </row>
    <row r="39" spans="1:20" s="201" customFormat="1" ht="15" x14ac:dyDescent="0.25">
      <c r="A39" s="185">
        <v>3</v>
      </c>
      <c r="B39" s="364" t="s">
        <v>1059</v>
      </c>
      <c r="C39" s="365">
        <f t="shared" si="14"/>
        <v>5</v>
      </c>
      <c r="D39" s="365">
        <v>5</v>
      </c>
      <c r="E39" s="365"/>
      <c r="F39" s="366">
        <f t="shared" si="16"/>
        <v>963.56819999999993</v>
      </c>
      <c r="G39" s="366">
        <f t="shared" si="15"/>
        <v>839.56819999999993</v>
      </c>
      <c r="H39" s="366">
        <f>(21.02+0.7)*1.8*12</f>
        <v>469.15199999999993</v>
      </c>
      <c r="I39" s="366">
        <f>H39*22.5%</f>
        <v>105.55919999999999</v>
      </c>
      <c r="J39" s="366">
        <f>H39*25%</f>
        <v>117.28799999999998</v>
      </c>
      <c r="K39" s="366">
        <v>2.5</v>
      </c>
      <c r="L39" s="366">
        <v>19.068999999999999</v>
      </c>
      <c r="M39" s="366">
        <f t="shared" si="17"/>
        <v>126</v>
      </c>
      <c r="N39" s="366">
        <f t="shared" si="18"/>
        <v>14</v>
      </c>
      <c r="O39" s="378">
        <v>124</v>
      </c>
      <c r="P39" s="369"/>
      <c r="Q39" s="207"/>
      <c r="T39" s="203"/>
    </row>
    <row r="40" spans="1:20" s="201" customFormat="1" ht="15" x14ac:dyDescent="0.25">
      <c r="A40" s="185">
        <v>4</v>
      </c>
      <c r="B40" s="364" t="s">
        <v>1060</v>
      </c>
      <c r="C40" s="365">
        <f t="shared" si="14"/>
        <v>10</v>
      </c>
      <c r="D40" s="365">
        <v>10</v>
      </c>
      <c r="E40" s="365"/>
      <c r="F40" s="366">
        <f t="shared" si="16"/>
        <v>1828.1732000000002</v>
      </c>
      <c r="G40" s="366">
        <f t="shared" si="15"/>
        <v>1620.1732000000002</v>
      </c>
      <c r="H40" s="366">
        <f>(40.07+0.7)*1.8*12</f>
        <v>880.63200000000006</v>
      </c>
      <c r="I40" s="366">
        <f>H40*22.5%</f>
        <v>198.14220000000003</v>
      </c>
      <c r="J40" s="366">
        <f>H40*25%+0.2*1.8*12+2*12</f>
        <v>248.47800000000001</v>
      </c>
      <c r="K40" s="366">
        <v>5</v>
      </c>
      <c r="L40" s="366">
        <v>35.920999999999999</v>
      </c>
      <c r="M40" s="366">
        <f t="shared" si="17"/>
        <v>252</v>
      </c>
      <c r="N40" s="366">
        <f t="shared" si="18"/>
        <v>28</v>
      </c>
      <c r="O40" s="378">
        <v>208</v>
      </c>
      <c r="P40" s="364"/>
      <c r="Q40" s="207"/>
      <c r="T40" s="203"/>
    </row>
    <row r="41" spans="1:20" s="201" customFormat="1" ht="15" x14ac:dyDescent="0.25">
      <c r="A41" s="185">
        <v>5</v>
      </c>
      <c r="B41" s="364" t="s">
        <v>1054</v>
      </c>
      <c r="C41" s="365">
        <f t="shared" si="14"/>
        <v>8</v>
      </c>
      <c r="D41" s="365">
        <v>8</v>
      </c>
      <c r="E41" s="365"/>
      <c r="F41" s="366">
        <f t="shared" si="16"/>
        <v>1165.318</v>
      </c>
      <c r="G41" s="366">
        <f t="shared" si="15"/>
        <v>1165.318</v>
      </c>
      <c r="H41" s="366">
        <f>(28.7+0.7)*1.8*12</f>
        <v>635.04</v>
      </c>
      <c r="I41" s="366">
        <f t="shared" ref="I41:I47" si="19">H41*22.5%</f>
        <v>142.88399999999999</v>
      </c>
      <c r="J41" s="366">
        <f>H41*25%</f>
        <v>158.76</v>
      </c>
      <c r="K41" s="366">
        <v>4</v>
      </c>
      <c r="L41" s="366">
        <v>23.033999999999999</v>
      </c>
      <c r="M41" s="366">
        <f t="shared" si="17"/>
        <v>201.6</v>
      </c>
      <c r="N41" s="366">
        <f t="shared" si="18"/>
        <v>22.400000000000002</v>
      </c>
      <c r="O41" s="378"/>
      <c r="P41" s="364"/>
      <c r="Q41" s="207"/>
      <c r="T41" s="203"/>
    </row>
    <row r="42" spans="1:20" s="201" customFormat="1" ht="15" x14ac:dyDescent="0.25">
      <c r="A42" s="185">
        <v>6</v>
      </c>
      <c r="B42" s="364" t="s">
        <v>1063</v>
      </c>
      <c r="C42" s="365">
        <f t="shared" si="14"/>
        <v>5</v>
      </c>
      <c r="D42" s="365">
        <v>5</v>
      </c>
      <c r="E42" s="365"/>
      <c r="F42" s="366">
        <f t="shared" si="16"/>
        <v>1055.9340119999999</v>
      </c>
      <c r="G42" s="366">
        <f t="shared" si="15"/>
        <v>1055.9340119999999</v>
      </c>
      <c r="H42" s="366">
        <f>(25.68+0.7+1.4442)*1.8*12</f>
        <v>601.00271999999995</v>
      </c>
      <c r="I42" s="366">
        <f>H42*22.5%</f>
        <v>135.22561199999998</v>
      </c>
      <c r="J42" s="366">
        <f>H42*25%</f>
        <v>150.25067999999999</v>
      </c>
      <c r="K42" s="366">
        <v>2.5</v>
      </c>
      <c r="L42" s="366">
        <v>40.954999999999998</v>
      </c>
      <c r="M42" s="366">
        <f t="shared" si="17"/>
        <v>126</v>
      </c>
      <c r="N42" s="366">
        <f t="shared" si="18"/>
        <v>14</v>
      </c>
      <c r="O42" s="378"/>
      <c r="P42" s="364"/>
      <c r="Q42" s="207"/>
      <c r="T42" s="203"/>
    </row>
    <row r="43" spans="1:20" s="201" customFormat="1" ht="15" x14ac:dyDescent="0.25">
      <c r="A43" s="185">
        <v>7</v>
      </c>
      <c r="B43" s="364" t="s">
        <v>1061</v>
      </c>
      <c r="C43" s="365">
        <f t="shared" si="14"/>
        <v>7</v>
      </c>
      <c r="D43" s="365">
        <v>7</v>
      </c>
      <c r="E43" s="365"/>
      <c r="F43" s="366">
        <f t="shared" si="16"/>
        <v>1066.9850000000001</v>
      </c>
      <c r="G43" s="366">
        <f t="shared" si="15"/>
        <v>1006.985</v>
      </c>
      <c r="H43" s="366">
        <f>(24.3+0.7)*1.8*12</f>
        <v>540</v>
      </c>
      <c r="I43" s="366">
        <f>H43*22.5%</f>
        <v>121.5</v>
      </c>
      <c r="J43" s="366">
        <f>H43*25%</f>
        <v>135</v>
      </c>
      <c r="K43" s="366">
        <v>3.5</v>
      </c>
      <c r="L43" s="366">
        <v>30.585000000000001</v>
      </c>
      <c r="M43" s="366">
        <f t="shared" si="17"/>
        <v>176.4</v>
      </c>
      <c r="N43" s="366">
        <f t="shared" si="18"/>
        <v>19.600000000000001</v>
      </c>
      <c r="O43" s="365">
        <v>60</v>
      </c>
      <c r="P43" s="364"/>
      <c r="Q43" s="207"/>
      <c r="T43" s="203"/>
    </row>
    <row r="44" spans="1:20" s="201" customFormat="1" ht="15" x14ac:dyDescent="0.25">
      <c r="A44" s="185">
        <v>8</v>
      </c>
      <c r="B44" s="364" t="s">
        <v>1057</v>
      </c>
      <c r="C44" s="365">
        <f t="shared" si="14"/>
        <v>5</v>
      </c>
      <c r="D44" s="365">
        <v>5</v>
      </c>
      <c r="E44" s="365"/>
      <c r="F44" s="366">
        <f t="shared" si="16"/>
        <v>838.31319999999994</v>
      </c>
      <c r="G44" s="366">
        <f t="shared" si="15"/>
        <v>743.31319999999994</v>
      </c>
      <c r="H44" s="366">
        <f>(18.02+0.7)*1.8*12</f>
        <v>404.35199999999998</v>
      </c>
      <c r="I44" s="366">
        <f>H44*22.5%</f>
        <v>90.979199999999992</v>
      </c>
      <c r="J44" s="366">
        <f>H44*25%</f>
        <v>101.08799999999999</v>
      </c>
      <c r="K44" s="366">
        <v>2.5</v>
      </c>
      <c r="L44" s="366">
        <v>18.393999999999998</v>
      </c>
      <c r="M44" s="366">
        <f t="shared" si="17"/>
        <v>126</v>
      </c>
      <c r="N44" s="366">
        <f t="shared" si="18"/>
        <v>14</v>
      </c>
      <c r="O44" s="378">
        <v>95</v>
      </c>
      <c r="P44" s="369"/>
      <c r="Q44" s="207"/>
      <c r="T44" s="203"/>
    </row>
    <row r="45" spans="1:20" s="201" customFormat="1" ht="15" x14ac:dyDescent="0.25">
      <c r="A45" s="185">
        <v>9</v>
      </c>
      <c r="B45" s="364" t="s">
        <v>1055</v>
      </c>
      <c r="C45" s="365">
        <f t="shared" si="14"/>
        <v>6</v>
      </c>
      <c r="D45" s="365">
        <v>6</v>
      </c>
      <c r="E45" s="365"/>
      <c r="F45" s="366">
        <f t="shared" si="16"/>
        <v>994.95839999999998</v>
      </c>
      <c r="G45" s="366">
        <f t="shared" si="15"/>
        <v>983.4384</v>
      </c>
      <c r="H45" s="366">
        <f>(24.69+0.5)*1.8*12</f>
        <v>544.10400000000004</v>
      </c>
      <c r="I45" s="366">
        <f t="shared" si="19"/>
        <v>122.42340000000002</v>
      </c>
      <c r="J45" s="366">
        <f>H45*25%</f>
        <v>136.02600000000001</v>
      </c>
      <c r="K45" s="366">
        <v>3.5</v>
      </c>
      <c r="L45" s="366">
        <v>26.184999999999999</v>
      </c>
      <c r="M45" s="366">
        <f t="shared" si="17"/>
        <v>151.20000000000002</v>
      </c>
      <c r="N45" s="366">
        <f t="shared" si="18"/>
        <v>16.8</v>
      </c>
      <c r="O45" s="378">
        <v>11.52</v>
      </c>
      <c r="P45" s="364"/>
      <c r="Q45" s="207"/>
      <c r="T45" s="203"/>
    </row>
    <row r="46" spans="1:20" s="205" customFormat="1" ht="15" x14ac:dyDescent="0.25">
      <c r="A46" s="185">
        <v>10</v>
      </c>
      <c r="B46" s="364" t="s">
        <v>1062</v>
      </c>
      <c r="C46" s="365">
        <v>9</v>
      </c>
      <c r="D46" s="365">
        <v>9</v>
      </c>
      <c r="E46" s="365"/>
      <c r="F46" s="366">
        <f t="shared" si="16"/>
        <v>1245.5209400000001</v>
      </c>
      <c r="G46" s="366">
        <f t="shared" si="15"/>
        <v>1172.5209400000001</v>
      </c>
      <c r="H46" s="366">
        <f>(28.029+0.7)*1.8*12</f>
        <v>620.54640000000006</v>
      </c>
      <c r="I46" s="366">
        <f>H46*22.5%</f>
        <v>139.62294000000003</v>
      </c>
      <c r="J46" s="366">
        <f>H46*25%+((0.1+0.2)*1.8*12)</f>
        <v>161.61660000000001</v>
      </c>
      <c r="K46" s="366">
        <v>4</v>
      </c>
      <c r="L46" s="366">
        <v>19.934999999999999</v>
      </c>
      <c r="M46" s="366">
        <f t="shared" si="17"/>
        <v>226.8</v>
      </c>
      <c r="N46" s="366">
        <f t="shared" si="18"/>
        <v>25.200000000000003</v>
      </c>
      <c r="O46" s="365">
        <v>73</v>
      </c>
      <c r="P46" s="364"/>
      <c r="Q46" s="207"/>
      <c r="T46" s="206"/>
    </row>
    <row r="47" spans="1:20" s="201" customFormat="1" ht="15" x14ac:dyDescent="0.25">
      <c r="A47" s="185">
        <v>11</v>
      </c>
      <c r="B47" s="364" t="s">
        <v>1058</v>
      </c>
      <c r="C47" s="365">
        <f>D47+E47</f>
        <v>5</v>
      </c>
      <c r="D47" s="365">
        <v>5</v>
      </c>
      <c r="E47" s="365"/>
      <c r="F47" s="366">
        <f>G47+O47</f>
        <v>883.76635999999985</v>
      </c>
      <c r="G47" s="366">
        <f t="shared" si="15"/>
        <v>802.76635999999985</v>
      </c>
      <c r="H47" s="366">
        <f>(17.31+0.5+0.366)*1.8*12</f>
        <v>392.60159999999996</v>
      </c>
      <c r="I47" s="366">
        <f t="shared" si="19"/>
        <v>88.335359999999994</v>
      </c>
      <c r="J47" s="366">
        <f>H47*25%+(3.545)*1.8*12</f>
        <v>174.72239999999999</v>
      </c>
      <c r="K47" s="366">
        <v>2.5</v>
      </c>
      <c r="L47" s="366">
        <v>18.606999999999999</v>
      </c>
      <c r="M47" s="366">
        <f t="shared" si="17"/>
        <v>126</v>
      </c>
      <c r="N47" s="366">
        <f t="shared" si="18"/>
        <v>14</v>
      </c>
      <c r="O47" s="378">
        <v>81</v>
      </c>
      <c r="P47" s="364"/>
      <c r="Q47" s="207"/>
      <c r="T47" s="203"/>
    </row>
    <row r="48" spans="1:20" ht="15" x14ac:dyDescent="0.25">
      <c r="A48" s="336" t="s">
        <v>1051</v>
      </c>
      <c r="B48" s="336" t="s">
        <v>1474</v>
      </c>
      <c r="C48" s="359">
        <f>SUM(C49:C53)</f>
        <v>22</v>
      </c>
      <c r="D48" s="359">
        <f>SUM(D49:D53)</f>
        <v>21</v>
      </c>
      <c r="E48" s="359">
        <f>SUM(E49:E53)</f>
        <v>1</v>
      </c>
      <c r="F48" s="360">
        <f>SUM(F49:F53)</f>
        <v>4013.0884000000001</v>
      </c>
      <c r="G48" s="360">
        <f t="shared" si="12"/>
        <v>3545.5884000000005</v>
      </c>
      <c r="H48" s="360">
        <f t="shared" ref="H48:O48" si="20">SUM(H49:H53)</f>
        <v>1640.0880000000002</v>
      </c>
      <c r="I48" s="360">
        <f t="shared" si="20"/>
        <v>336.15</v>
      </c>
      <c r="J48" s="360">
        <f t="shared" si="20"/>
        <v>905.50440000000026</v>
      </c>
      <c r="K48" s="360">
        <f t="shared" si="20"/>
        <v>10.5</v>
      </c>
      <c r="L48" s="360">
        <f t="shared" si="20"/>
        <v>109.446</v>
      </c>
      <c r="M48" s="360">
        <f t="shared" si="20"/>
        <v>554.4</v>
      </c>
      <c r="N48" s="360">
        <f t="shared" si="20"/>
        <v>61.6</v>
      </c>
      <c r="O48" s="360">
        <f t="shared" si="20"/>
        <v>457</v>
      </c>
      <c r="P48" s="370"/>
      <c r="Q48" s="192"/>
    </row>
    <row r="49" spans="1:20" s="201" customFormat="1" ht="15" x14ac:dyDescent="0.25">
      <c r="A49" s="185">
        <v>1</v>
      </c>
      <c r="B49" s="364" t="s">
        <v>1067</v>
      </c>
      <c r="C49" s="365">
        <f>D49+E49</f>
        <v>5</v>
      </c>
      <c r="D49" s="365">
        <v>4</v>
      </c>
      <c r="E49" s="365">
        <v>1</v>
      </c>
      <c r="F49" s="366">
        <f>G49+O49</f>
        <v>862.2503999999999</v>
      </c>
      <c r="G49" s="366">
        <f>H49+I49+J49+K49+L49+M49</f>
        <v>782.2503999999999</v>
      </c>
      <c r="H49" s="366">
        <f>(14.31+0.55+1.5)*1.8*12</f>
        <v>353.37599999999998</v>
      </c>
      <c r="I49" s="366">
        <f>H49*22.5%+(1.5*1.8*1%*12)</f>
        <v>79.83359999999999</v>
      </c>
      <c r="J49" s="366">
        <f>H49*55%</f>
        <v>194.35679999999999</v>
      </c>
      <c r="K49" s="366">
        <v>2.5</v>
      </c>
      <c r="L49" s="366">
        <v>26.184000000000001</v>
      </c>
      <c r="M49" s="366">
        <f>SUM(C49*28*90%)</f>
        <v>126</v>
      </c>
      <c r="N49" s="366">
        <f>SUM(C49*28*10%)</f>
        <v>14</v>
      </c>
      <c r="O49" s="378">
        <v>80</v>
      </c>
      <c r="P49" s="369"/>
      <c r="Q49" s="207"/>
      <c r="T49" s="203"/>
    </row>
    <row r="50" spans="1:20" s="201" customFormat="1" ht="15" x14ac:dyDescent="0.25">
      <c r="A50" s="185">
        <v>2</v>
      </c>
      <c r="B50" s="364" t="s">
        <v>1064</v>
      </c>
      <c r="C50" s="365">
        <f>D50+E50</f>
        <v>5</v>
      </c>
      <c r="D50" s="365">
        <v>5</v>
      </c>
      <c r="E50" s="365"/>
      <c r="F50" s="366">
        <f>G50+O50</f>
        <v>872.6253999999999</v>
      </c>
      <c r="G50" s="366">
        <f>H50+I50+J50+K50+L50+M50</f>
        <v>684.6253999999999</v>
      </c>
      <c r="H50" s="366">
        <f>(13.31+0.7)*1.8*12</f>
        <v>302.61599999999999</v>
      </c>
      <c r="I50" s="366">
        <f>H50*22.5%</f>
        <v>68.0886</v>
      </c>
      <c r="J50" s="366">
        <f>H50*55%</f>
        <v>166.43880000000001</v>
      </c>
      <c r="K50" s="366">
        <v>2</v>
      </c>
      <c r="L50" s="366">
        <v>19.481999999999999</v>
      </c>
      <c r="M50" s="366">
        <f>SUM(C50*28*90%)</f>
        <v>126</v>
      </c>
      <c r="N50" s="366">
        <f>SUM(C50*28*10%)</f>
        <v>14</v>
      </c>
      <c r="O50" s="378">
        <v>188</v>
      </c>
      <c r="P50" s="364"/>
      <c r="Q50" s="207"/>
      <c r="T50" s="203"/>
    </row>
    <row r="51" spans="1:20" s="205" customFormat="1" ht="15" x14ac:dyDescent="0.25">
      <c r="A51" s="185">
        <v>3</v>
      </c>
      <c r="B51" s="364" t="s">
        <v>1065</v>
      </c>
      <c r="C51" s="365">
        <f t="shared" ref="C51:C61" si="21">D51+E51</f>
        <v>4</v>
      </c>
      <c r="D51" s="365">
        <v>4</v>
      </c>
      <c r="E51" s="365"/>
      <c r="F51" s="366">
        <f>G51+O51</f>
        <v>864.36440000000005</v>
      </c>
      <c r="G51" s="366">
        <f>H51+I51+J51+K51+L51+M51</f>
        <v>763.36440000000005</v>
      </c>
      <c r="H51" s="366">
        <f>(15.96+0.8)*1.8*12</f>
        <v>362.01600000000002</v>
      </c>
      <c r="I51" s="366">
        <f>H51*22.5%</f>
        <v>81.453600000000009</v>
      </c>
      <c r="J51" s="366">
        <f>H51*55%</f>
        <v>199.10880000000003</v>
      </c>
      <c r="K51" s="366">
        <v>2</v>
      </c>
      <c r="L51" s="366">
        <v>17.986000000000001</v>
      </c>
      <c r="M51" s="366">
        <f>SUM(C51*28*90%)</f>
        <v>100.8</v>
      </c>
      <c r="N51" s="366">
        <f>SUM(C51*28*10%)</f>
        <v>11.200000000000001</v>
      </c>
      <c r="O51" s="378">
        <v>101</v>
      </c>
      <c r="P51" s="369"/>
      <c r="Q51" s="207"/>
      <c r="T51" s="206"/>
    </row>
    <row r="52" spans="1:20" s="201" customFormat="1" ht="15" x14ac:dyDescent="0.25">
      <c r="A52" s="185">
        <v>4</v>
      </c>
      <c r="B52" s="364" t="s">
        <v>1066</v>
      </c>
      <c r="C52" s="365">
        <f>D52+E52</f>
        <v>5</v>
      </c>
      <c r="D52" s="365">
        <v>5</v>
      </c>
      <c r="E52" s="365"/>
      <c r="F52" s="366">
        <f>G52+O52</f>
        <v>904.20740000000023</v>
      </c>
      <c r="G52" s="366">
        <f>H52+I52+J52+K52+L52+M52</f>
        <v>850.20740000000023</v>
      </c>
      <c r="H52" s="366">
        <f>(17.51+0.8)*1.8*12</f>
        <v>395.49600000000009</v>
      </c>
      <c r="I52" s="366">
        <f>H52*22.5%</f>
        <v>88.986600000000024</v>
      </c>
      <c r="J52" s="366">
        <f>H52*55%</f>
        <v>217.52280000000007</v>
      </c>
      <c r="K52" s="366">
        <v>2.5</v>
      </c>
      <c r="L52" s="366">
        <v>19.702000000000002</v>
      </c>
      <c r="M52" s="366">
        <f>SUM(C52*28*90%)</f>
        <v>126</v>
      </c>
      <c r="N52" s="366">
        <f>SUM(C52*28*10%)</f>
        <v>14</v>
      </c>
      <c r="O52" s="378">
        <v>54</v>
      </c>
      <c r="P52" s="380"/>
      <c r="Q52" s="207"/>
      <c r="T52" s="203"/>
    </row>
    <row r="53" spans="1:20" s="201" customFormat="1" ht="15" x14ac:dyDescent="0.25">
      <c r="A53" s="185">
        <v>5</v>
      </c>
      <c r="B53" s="364" t="s">
        <v>1068</v>
      </c>
      <c r="C53" s="365">
        <f t="shared" si="21"/>
        <v>3</v>
      </c>
      <c r="D53" s="365">
        <v>3</v>
      </c>
      <c r="E53" s="365"/>
      <c r="F53" s="366">
        <f>G53+O53</f>
        <v>509.64080000000001</v>
      </c>
      <c r="G53" s="366">
        <f>H53+I53+J53+K53+L53+M53</f>
        <v>475.64080000000001</v>
      </c>
      <c r="H53" s="366">
        <f>(9.99+0.5)*1.8*12</f>
        <v>226.584</v>
      </c>
      <c r="I53" s="366">
        <f>3.66*1.8*12*22.5%</f>
        <v>17.787600000000001</v>
      </c>
      <c r="J53" s="366">
        <f>H53*55%+(0.16*1.8*12)</f>
        <v>128.0772</v>
      </c>
      <c r="K53" s="366">
        <v>1.5</v>
      </c>
      <c r="L53" s="366">
        <v>26.091999999999999</v>
      </c>
      <c r="M53" s="366">
        <f>SUM(C53*28*90%)</f>
        <v>75.600000000000009</v>
      </c>
      <c r="N53" s="366">
        <f>SUM(C53*28*10%)</f>
        <v>8.4</v>
      </c>
      <c r="O53" s="378">
        <v>34</v>
      </c>
      <c r="P53" s="369"/>
      <c r="Q53" s="207"/>
      <c r="T53" s="203"/>
    </row>
    <row r="54" spans="1:20" ht="15" x14ac:dyDescent="0.25">
      <c r="A54" s="336" t="s">
        <v>1051</v>
      </c>
      <c r="B54" s="336" t="s">
        <v>1069</v>
      </c>
      <c r="C54" s="359">
        <f t="shared" ref="C54:O54" si="22">SUM(C55:C61)</f>
        <v>14</v>
      </c>
      <c r="D54" s="359">
        <f t="shared" si="22"/>
        <v>14</v>
      </c>
      <c r="E54" s="359">
        <f t="shared" si="22"/>
        <v>0</v>
      </c>
      <c r="F54" s="359">
        <f>SUM(F55:F61)</f>
        <v>1358.0995376000001</v>
      </c>
      <c r="G54" s="359">
        <f>SUM(G55:G61)</f>
        <v>1094.5395376000001</v>
      </c>
      <c r="H54" s="359">
        <f t="shared" si="22"/>
        <v>624.83616000000006</v>
      </c>
      <c r="I54" s="359">
        <f t="shared" si="22"/>
        <v>88.919337600000006</v>
      </c>
      <c r="J54" s="359">
        <f t="shared" si="22"/>
        <v>44.915040000000005</v>
      </c>
      <c r="K54" s="359">
        <f>SUM(K55:K61)</f>
        <v>8</v>
      </c>
      <c r="L54" s="359">
        <f t="shared" si="22"/>
        <v>25.469000000000001</v>
      </c>
      <c r="M54" s="359">
        <f t="shared" si="22"/>
        <v>302.40000000000003</v>
      </c>
      <c r="N54" s="359">
        <f t="shared" si="22"/>
        <v>33.6</v>
      </c>
      <c r="O54" s="359">
        <f t="shared" si="22"/>
        <v>264.56</v>
      </c>
      <c r="P54" s="370"/>
      <c r="Q54" s="192"/>
    </row>
    <row r="55" spans="1:20" s="201" customFormat="1" ht="15" x14ac:dyDescent="0.25">
      <c r="A55" s="185">
        <v>1</v>
      </c>
      <c r="B55" s="364" t="s">
        <v>1070</v>
      </c>
      <c r="C55" s="365">
        <v>3</v>
      </c>
      <c r="D55" s="365">
        <v>3</v>
      </c>
      <c r="E55" s="365"/>
      <c r="F55" s="366">
        <f t="shared" ref="F55:F61" si="23">G55+O55</f>
        <v>266.87691999999998</v>
      </c>
      <c r="G55" s="366">
        <f>H55+I55+J55+K55+L55+M55</f>
        <v>248.11691999999999</v>
      </c>
      <c r="H55" s="366">
        <f>(2.45+2.17+2.67)*1.8*12</f>
        <v>157.464</v>
      </c>
      <c r="I55" s="366">
        <f>2.67*1.8*12*23.5%</f>
        <v>13.552919999999999</v>
      </c>
      <c r="J55" s="366"/>
      <c r="K55" s="366">
        <v>1.5</v>
      </c>
      <c r="L55" s="366"/>
      <c r="M55" s="366">
        <f>SUM(C55*28*90%)</f>
        <v>75.600000000000009</v>
      </c>
      <c r="N55" s="366">
        <f>SUM(C55*28*10%)</f>
        <v>8.4</v>
      </c>
      <c r="O55" s="378">
        <v>18.760000000000002</v>
      </c>
      <c r="P55" s="369"/>
      <c r="Q55" s="207"/>
      <c r="T55" s="203"/>
    </row>
    <row r="56" spans="1:20" s="201" customFormat="1" ht="15" x14ac:dyDescent="0.25">
      <c r="A56" s="185">
        <v>2</v>
      </c>
      <c r="B56" s="364" t="s">
        <v>1475</v>
      </c>
      <c r="C56" s="365">
        <f>D56+E56</f>
        <v>3</v>
      </c>
      <c r="D56" s="365">
        <v>3</v>
      </c>
      <c r="E56" s="365"/>
      <c r="F56" s="366">
        <f t="shared" si="23"/>
        <v>239.56400000000002</v>
      </c>
      <c r="G56" s="366">
        <f>H56+I56+J56+K56+L56+M56</f>
        <v>223.76400000000001</v>
      </c>
      <c r="H56" s="366">
        <f>(2.45+2.17+2.17)*1.8*12</f>
        <v>146.66399999999999</v>
      </c>
      <c r="I56" s="366"/>
      <c r="J56" s="366"/>
      <c r="K56" s="366">
        <v>1.5</v>
      </c>
      <c r="L56" s="366"/>
      <c r="M56" s="366">
        <f>SUM(C56*28*90%)</f>
        <v>75.600000000000009</v>
      </c>
      <c r="N56" s="366">
        <f>SUM(C56*28*10%)</f>
        <v>8.4</v>
      </c>
      <c r="O56" s="378">
        <v>15.8</v>
      </c>
      <c r="P56" s="381"/>
      <c r="Q56" s="207"/>
      <c r="T56" s="203"/>
    </row>
    <row r="57" spans="1:20" s="201" customFormat="1" ht="15" x14ac:dyDescent="0.25">
      <c r="A57" s="185">
        <v>3</v>
      </c>
      <c r="B57" s="364" t="s">
        <v>1071</v>
      </c>
      <c r="C57" s="365">
        <f t="shared" si="21"/>
        <v>2</v>
      </c>
      <c r="D57" s="365">
        <v>2</v>
      </c>
      <c r="E57" s="365"/>
      <c r="F57" s="366">
        <f t="shared" si="23"/>
        <v>65.400000000000006</v>
      </c>
      <c r="G57" s="366">
        <f>H57+I57+J57+K57+L57+M57</f>
        <v>50.4</v>
      </c>
      <c r="H57" s="366"/>
      <c r="I57" s="366"/>
      <c r="J57" s="366"/>
      <c r="K57" s="366"/>
      <c r="L57" s="366"/>
      <c r="M57" s="366">
        <f>SUM(C57*28*90%)</f>
        <v>50.4</v>
      </c>
      <c r="N57" s="366">
        <f>SUM(C57*28*10%)</f>
        <v>5.6000000000000005</v>
      </c>
      <c r="O57" s="378">
        <v>15</v>
      </c>
      <c r="P57" s="369"/>
      <c r="Q57" s="207"/>
      <c r="T57" s="203"/>
    </row>
    <row r="58" spans="1:20" s="201" customFormat="1" ht="15" x14ac:dyDescent="0.25">
      <c r="A58" s="185">
        <v>4</v>
      </c>
      <c r="B58" s="364" t="s">
        <v>1072</v>
      </c>
      <c r="C58" s="365">
        <f t="shared" si="21"/>
        <v>4</v>
      </c>
      <c r="D58" s="365">
        <v>4</v>
      </c>
      <c r="E58" s="365"/>
      <c r="F58" s="366">
        <f t="shared" si="23"/>
        <v>704.25861759999998</v>
      </c>
      <c r="G58" s="366">
        <f>H58+I58+J58+K58+L58+M58</f>
        <v>569.25861759999998</v>
      </c>
      <c r="H58" s="366">
        <f>(13.65+0.5+0.6976)*1.8*12</f>
        <v>320.70816000000002</v>
      </c>
      <c r="I58" s="366">
        <f>H58*23.5%</f>
        <v>75.366417600000005</v>
      </c>
      <c r="J58" s="366">
        <f>2.0794*1.8*12</f>
        <v>44.915040000000005</v>
      </c>
      <c r="K58" s="366">
        <v>2</v>
      </c>
      <c r="L58" s="366">
        <v>25.469000000000001</v>
      </c>
      <c r="M58" s="366">
        <f>SUM(C58*28*90%)</f>
        <v>100.8</v>
      </c>
      <c r="N58" s="366">
        <f>SUM(C58*28*10%)</f>
        <v>11.200000000000001</v>
      </c>
      <c r="O58" s="378">
        <v>135</v>
      </c>
      <c r="P58" s="369"/>
      <c r="Q58" s="207"/>
      <c r="R58" s="208" t="e">
        <f>O58+L58+M61+#REF!+#REF!</f>
        <v>#REF!</v>
      </c>
      <c r="S58" s="202">
        <f>H58+I58+J58</f>
        <v>440.98961759999997</v>
      </c>
      <c r="T58" s="203"/>
    </row>
    <row r="59" spans="1:20" s="201" customFormat="1" ht="15" x14ac:dyDescent="0.25">
      <c r="A59" s="185">
        <v>5</v>
      </c>
      <c r="B59" s="364" t="s">
        <v>1481</v>
      </c>
      <c r="C59" s="365"/>
      <c r="D59" s="365"/>
      <c r="E59" s="365"/>
      <c r="F59" s="366">
        <f t="shared" si="23"/>
        <v>31</v>
      </c>
      <c r="G59" s="366">
        <f t="shared" si="15"/>
        <v>1</v>
      </c>
      <c r="H59" s="366"/>
      <c r="I59" s="366"/>
      <c r="J59" s="366"/>
      <c r="K59" s="366">
        <v>1</v>
      </c>
      <c r="L59" s="366"/>
      <c r="M59" s="366"/>
      <c r="N59" s="366"/>
      <c r="O59" s="378">
        <v>30</v>
      </c>
      <c r="P59" s="369"/>
      <c r="Q59" s="207"/>
      <c r="R59" s="208"/>
      <c r="S59" s="202"/>
      <c r="T59" s="203"/>
    </row>
    <row r="60" spans="1:20" s="201" customFormat="1" ht="15" x14ac:dyDescent="0.25">
      <c r="A60" s="185">
        <v>6</v>
      </c>
      <c r="B60" s="364" t="s">
        <v>1516</v>
      </c>
      <c r="C60" s="365"/>
      <c r="D60" s="365"/>
      <c r="E60" s="365"/>
      <c r="F60" s="366"/>
      <c r="G60" s="366">
        <f t="shared" si="15"/>
        <v>1</v>
      </c>
      <c r="H60" s="366"/>
      <c r="I60" s="366"/>
      <c r="J60" s="366"/>
      <c r="K60" s="366">
        <v>1</v>
      </c>
      <c r="L60" s="366"/>
      <c r="M60" s="366"/>
      <c r="N60" s="366"/>
      <c r="O60" s="378"/>
      <c r="P60" s="369"/>
      <c r="Q60" s="207"/>
      <c r="R60" s="208"/>
      <c r="S60" s="202"/>
      <c r="T60" s="203"/>
    </row>
    <row r="61" spans="1:20" s="201" customFormat="1" ht="15" x14ac:dyDescent="0.25">
      <c r="A61" s="185">
        <v>7</v>
      </c>
      <c r="B61" s="364" t="s">
        <v>1073</v>
      </c>
      <c r="C61" s="365">
        <f t="shared" si="21"/>
        <v>2</v>
      </c>
      <c r="D61" s="365">
        <v>2</v>
      </c>
      <c r="E61" s="365"/>
      <c r="F61" s="366">
        <f t="shared" si="23"/>
        <v>51</v>
      </c>
      <c r="G61" s="366">
        <f t="shared" si="15"/>
        <v>1</v>
      </c>
      <c r="H61" s="366"/>
      <c r="I61" s="366"/>
      <c r="J61" s="366"/>
      <c r="K61" s="366">
        <v>1</v>
      </c>
      <c r="L61" s="366"/>
      <c r="M61" s="366"/>
      <c r="N61" s="366"/>
      <c r="O61" s="378">
        <v>50</v>
      </c>
      <c r="P61" s="380"/>
      <c r="Q61" s="207"/>
      <c r="T61" s="203"/>
    </row>
    <row r="62" spans="1:20" s="209" customFormat="1" ht="15" x14ac:dyDescent="0.25">
      <c r="A62" s="336" t="s">
        <v>1051</v>
      </c>
      <c r="B62" s="336" t="s">
        <v>1074</v>
      </c>
      <c r="C62" s="359">
        <f>SUM(C63+C66+C67)</f>
        <v>37</v>
      </c>
      <c r="D62" s="359">
        <f t="shared" ref="D62:N62" si="24">SUM(D63+D66+D67)</f>
        <v>30</v>
      </c>
      <c r="E62" s="359">
        <f t="shared" si="24"/>
        <v>7</v>
      </c>
      <c r="F62" s="359">
        <f>SUM(F63+F66+F67)</f>
        <v>11471.043399999999</v>
      </c>
      <c r="G62" s="359">
        <f t="shared" si="24"/>
        <v>6543.0433999999996</v>
      </c>
      <c r="H62" s="359">
        <f t="shared" si="24"/>
        <v>3084.0048000000002</v>
      </c>
      <c r="I62" s="359">
        <f t="shared" si="24"/>
        <v>697.79339999999991</v>
      </c>
      <c r="J62" s="359">
        <f t="shared" si="24"/>
        <v>1764.0072000000002</v>
      </c>
      <c r="K62" s="359">
        <f t="shared" si="24"/>
        <v>19.5</v>
      </c>
      <c r="L62" s="359">
        <f t="shared" si="24"/>
        <v>64.837999999999994</v>
      </c>
      <c r="M62" s="359">
        <f t="shared" si="24"/>
        <v>932.4</v>
      </c>
      <c r="N62" s="359">
        <f t="shared" si="24"/>
        <v>103.60000000000001</v>
      </c>
      <c r="O62" s="359">
        <f>O63</f>
        <v>4928</v>
      </c>
      <c r="P62" s="370"/>
      <c r="R62" s="210"/>
      <c r="T62" s="211"/>
    </row>
    <row r="63" spans="1:20" s="201" customFormat="1" ht="15" x14ac:dyDescent="0.25">
      <c r="A63" s="185" t="s">
        <v>1328</v>
      </c>
      <c r="B63" s="364" t="s">
        <v>1075</v>
      </c>
      <c r="C63" s="365">
        <f>SUM(C64:C65)</f>
        <v>37</v>
      </c>
      <c r="D63" s="365">
        <f t="shared" ref="D63:J63" si="25">SUM(D64:D65)</f>
        <v>30</v>
      </c>
      <c r="E63" s="365">
        <f t="shared" si="25"/>
        <v>7</v>
      </c>
      <c r="F63" s="365">
        <f>SUM(F64:F65)</f>
        <v>9115.0433999999987</v>
      </c>
      <c r="G63" s="365">
        <f>SUM(G64:G65)</f>
        <v>6543.0433999999996</v>
      </c>
      <c r="H63" s="365">
        <f t="shared" si="25"/>
        <v>3084.0048000000002</v>
      </c>
      <c r="I63" s="365">
        <f t="shared" si="25"/>
        <v>697.79339999999991</v>
      </c>
      <c r="J63" s="365">
        <f t="shared" si="25"/>
        <v>1764.0072000000002</v>
      </c>
      <c r="K63" s="365">
        <v>19.5</v>
      </c>
      <c r="L63" s="365">
        <f>SUM(L64:L65)</f>
        <v>64.837999999999994</v>
      </c>
      <c r="M63" s="365">
        <f>SUM(M64:M65)</f>
        <v>932.4</v>
      </c>
      <c r="N63" s="365">
        <f>SUM(N64:N65)</f>
        <v>103.60000000000001</v>
      </c>
      <c r="O63" s="365">
        <f>O65+O66+O67</f>
        <v>4928</v>
      </c>
      <c r="P63" s="379"/>
      <c r="R63" s="208"/>
      <c r="T63" s="203"/>
    </row>
    <row r="64" spans="1:20" s="212" customFormat="1" ht="15" x14ac:dyDescent="0.25">
      <c r="A64" s="185"/>
      <c r="B64" s="358" t="s">
        <v>1476</v>
      </c>
      <c r="C64" s="365">
        <f t="shared" ref="C64:C71" si="26">D64+E64</f>
        <v>37</v>
      </c>
      <c r="D64" s="365">
        <v>30</v>
      </c>
      <c r="E64" s="365">
        <f>3+4</f>
        <v>7</v>
      </c>
      <c r="F64" s="366">
        <f>G64+O64</f>
        <v>6543.0433999999996</v>
      </c>
      <c r="G64" s="366">
        <f>H64+I64+J64+K64+L64+M64</f>
        <v>6543.0433999999996</v>
      </c>
      <c r="H64" s="366">
        <f>(115.21+7.05+0.249+2.249+9.74+8.28)*1.8*12</f>
        <v>3084.0048000000002</v>
      </c>
      <c r="I64" s="366">
        <f>(115.21+7.05+0.249+2.249)*1.8*12*22.5%+(9.74+8.28)*1.8*12*23.5%</f>
        <v>697.79339999999991</v>
      </c>
      <c r="J64" s="366">
        <f>(35.3427+1.175+1.335+30.6273+7.83+2.922+2.435)*1.8*12</f>
        <v>1764.0072000000002</v>
      </c>
      <c r="K64" s="366"/>
      <c r="L64" s="366">
        <f>27.164+18.987+18.687</f>
        <v>64.837999999999994</v>
      </c>
      <c r="M64" s="366">
        <f>SUM(C64*28*90%)</f>
        <v>932.4</v>
      </c>
      <c r="N64" s="366">
        <f>SUM(C64*28*10%)</f>
        <v>103.60000000000001</v>
      </c>
      <c r="O64" s="378"/>
      <c r="P64" s="379"/>
      <c r="R64" s="213"/>
      <c r="T64" s="214"/>
    </row>
    <row r="65" spans="1:46" s="212" customFormat="1" ht="15" x14ac:dyDescent="0.25">
      <c r="A65" s="185"/>
      <c r="B65" s="358" t="s">
        <v>1482</v>
      </c>
      <c r="C65" s="365">
        <f t="shared" si="26"/>
        <v>0</v>
      </c>
      <c r="D65" s="365"/>
      <c r="E65" s="365"/>
      <c r="F65" s="366">
        <f t="shared" ref="F65:F71" si="27">G65+O65</f>
        <v>2572</v>
      </c>
      <c r="G65" s="366">
        <f t="shared" ref="G65:G71" si="28">H65+I65+J65+K65+L65+M65</f>
        <v>0</v>
      </c>
      <c r="H65" s="366"/>
      <c r="I65" s="366"/>
      <c r="J65" s="366"/>
      <c r="K65" s="366"/>
      <c r="L65" s="366"/>
      <c r="M65" s="366"/>
      <c r="N65" s="366"/>
      <c r="O65" s="378">
        <v>2572</v>
      </c>
      <c r="P65" s="379"/>
      <c r="R65" s="213"/>
      <c r="T65" s="214"/>
    </row>
    <row r="66" spans="1:46" s="212" customFormat="1" ht="15" x14ac:dyDescent="0.25">
      <c r="A66" s="382" t="s">
        <v>1329</v>
      </c>
      <c r="B66" s="383" t="s">
        <v>1322</v>
      </c>
      <c r="C66" s="384">
        <f t="shared" si="26"/>
        <v>0</v>
      </c>
      <c r="D66" s="384"/>
      <c r="E66" s="384"/>
      <c r="F66" s="366">
        <f t="shared" si="27"/>
        <v>500</v>
      </c>
      <c r="G66" s="366">
        <f t="shared" si="28"/>
        <v>0</v>
      </c>
      <c r="H66" s="385"/>
      <c r="I66" s="385"/>
      <c r="J66" s="385"/>
      <c r="K66" s="385"/>
      <c r="L66" s="385"/>
      <c r="M66" s="385"/>
      <c r="N66" s="385"/>
      <c r="O66" s="386">
        <v>500</v>
      </c>
      <c r="P66" s="386"/>
      <c r="Q66" s="215"/>
      <c r="R66" s="216"/>
      <c r="S66" s="217"/>
      <c r="T66" s="216"/>
      <c r="U66" s="218"/>
      <c r="V66" s="216"/>
      <c r="W66" s="216"/>
      <c r="X66" s="216"/>
      <c r="Y66" s="216"/>
      <c r="Z66" s="216"/>
      <c r="AA66" s="216"/>
      <c r="AB66" s="216"/>
      <c r="AC66" s="216"/>
      <c r="AD66" s="216"/>
      <c r="AE66" s="216"/>
      <c r="AF66" s="216"/>
      <c r="AG66" s="216"/>
      <c r="AH66" s="216"/>
      <c r="AI66" s="216"/>
      <c r="AJ66" s="216"/>
      <c r="AK66" s="216"/>
      <c r="AL66" s="216"/>
      <c r="AM66" s="216"/>
      <c r="AN66" s="216"/>
      <c r="AO66" s="216"/>
      <c r="AP66" s="216"/>
      <c r="AQ66" s="216"/>
      <c r="AR66" s="216"/>
      <c r="AS66" s="216"/>
      <c r="AT66" s="216"/>
    </row>
    <row r="67" spans="1:46" s="212" customFormat="1" ht="15" x14ac:dyDescent="0.25">
      <c r="A67" s="382" t="s">
        <v>1330</v>
      </c>
      <c r="B67" s="383" t="s">
        <v>1327</v>
      </c>
      <c r="C67" s="384"/>
      <c r="D67" s="384"/>
      <c r="E67" s="384"/>
      <c r="F67" s="366">
        <f t="shared" si="27"/>
        <v>1856</v>
      </c>
      <c r="G67" s="366">
        <f>H67+I67+J67+K67+L67+M67</f>
        <v>0</v>
      </c>
      <c r="H67" s="385"/>
      <c r="I67" s="385"/>
      <c r="J67" s="385"/>
      <c r="K67" s="385"/>
      <c r="L67" s="385"/>
      <c r="M67" s="385"/>
      <c r="N67" s="385"/>
      <c r="O67" s="385">
        <f>SUM(O68:O71)</f>
        <v>1856</v>
      </c>
      <c r="P67" s="385"/>
      <c r="Q67" s="215"/>
      <c r="R67" s="216"/>
      <c r="S67" s="217"/>
      <c r="T67" s="216"/>
      <c r="U67" s="218"/>
      <c r="V67" s="216"/>
      <c r="W67" s="216"/>
      <c r="X67" s="216"/>
      <c r="Y67" s="216"/>
      <c r="Z67" s="216"/>
      <c r="AA67" s="216"/>
      <c r="AB67" s="216"/>
      <c r="AC67" s="216"/>
      <c r="AD67" s="216"/>
      <c r="AE67" s="216"/>
      <c r="AF67" s="216"/>
      <c r="AG67" s="216"/>
      <c r="AH67" s="216"/>
      <c r="AI67" s="216"/>
      <c r="AJ67" s="216"/>
      <c r="AK67" s="216"/>
      <c r="AL67" s="216"/>
      <c r="AM67" s="216"/>
      <c r="AN67" s="216"/>
      <c r="AO67" s="216"/>
      <c r="AP67" s="216"/>
      <c r="AQ67" s="216"/>
      <c r="AR67" s="216"/>
      <c r="AS67" s="216"/>
      <c r="AT67" s="216"/>
    </row>
    <row r="68" spans="1:46" s="212" customFormat="1" ht="15" x14ac:dyDescent="0.25">
      <c r="A68" s="387">
        <v>1</v>
      </c>
      <c r="B68" s="358" t="s">
        <v>1323</v>
      </c>
      <c r="C68" s="388">
        <f t="shared" si="26"/>
        <v>0</v>
      </c>
      <c r="D68" s="388"/>
      <c r="E68" s="388"/>
      <c r="F68" s="366">
        <f t="shared" si="27"/>
        <v>87</v>
      </c>
      <c r="G68" s="366">
        <f t="shared" si="28"/>
        <v>0</v>
      </c>
      <c r="H68" s="389"/>
      <c r="I68" s="389"/>
      <c r="J68" s="389"/>
      <c r="K68" s="389"/>
      <c r="L68" s="389"/>
      <c r="M68" s="389"/>
      <c r="N68" s="389"/>
      <c r="O68" s="390">
        <v>87</v>
      </c>
      <c r="P68" s="390"/>
      <c r="Q68" s="219"/>
      <c r="S68" s="213"/>
      <c r="U68" s="214"/>
    </row>
    <row r="69" spans="1:46" s="212" customFormat="1" ht="15" x14ac:dyDescent="0.25">
      <c r="A69" s="387">
        <v>2</v>
      </c>
      <c r="B69" s="358" t="s">
        <v>1324</v>
      </c>
      <c r="C69" s="388">
        <f t="shared" si="26"/>
        <v>0</v>
      </c>
      <c r="D69" s="388"/>
      <c r="E69" s="388"/>
      <c r="F69" s="366">
        <f t="shared" si="27"/>
        <v>379</v>
      </c>
      <c r="G69" s="366">
        <f t="shared" si="28"/>
        <v>0</v>
      </c>
      <c r="H69" s="389"/>
      <c r="I69" s="389"/>
      <c r="J69" s="389"/>
      <c r="K69" s="389"/>
      <c r="L69" s="389"/>
      <c r="M69" s="389"/>
      <c r="N69" s="389"/>
      <c r="O69" s="390">
        <v>379</v>
      </c>
      <c r="P69" s="390"/>
      <c r="Q69" s="219"/>
      <c r="S69" s="213"/>
      <c r="U69" s="214"/>
    </row>
    <row r="70" spans="1:46" s="220" customFormat="1" ht="15" x14ac:dyDescent="0.25">
      <c r="A70" s="387">
        <v>3</v>
      </c>
      <c r="B70" s="358" t="s">
        <v>1325</v>
      </c>
      <c r="C70" s="388">
        <f t="shared" si="26"/>
        <v>0</v>
      </c>
      <c r="D70" s="388"/>
      <c r="E70" s="388"/>
      <c r="F70" s="366">
        <f t="shared" si="27"/>
        <v>354</v>
      </c>
      <c r="G70" s="366">
        <f t="shared" si="28"/>
        <v>0</v>
      </c>
      <c r="H70" s="389"/>
      <c r="I70" s="389"/>
      <c r="J70" s="389"/>
      <c r="K70" s="389"/>
      <c r="L70" s="389"/>
      <c r="M70" s="389"/>
      <c r="N70" s="389"/>
      <c r="O70" s="390">
        <v>354</v>
      </c>
      <c r="P70" s="390"/>
      <c r="Q70" s="219"/>
      <c r="R70" s="212"/>
      <c r="S70" s="213"/>
      <c r="T70" s="212"/>
      <c r="U70" s="214"/>
      <c r="V70" s="212"/>
      <c r="W70" s="212"/>
      <c r="X70" s="212"/>
      <c r="Y70" s="212"/>
      <c r="Z70" s="212"/>
      <c r="AA70" s="212"/>
      <c r="AB70" s="212"/>
      <c r="AC70" s="212"/>
      <c r="AD70" s="212"/>
      <c r="AE70" s="212"/>
      <c r="AF70" s="212"/>
      <c r="AG70" s="212"/>
      <c r="AH70" s="212"/>
      <c r="AI70" s="212"/>
      <c r="AJ70" s="212"/>
      <c r="AK70" s="212"/>
      <c r="AL70" s="212"/>
      <c r="AM70" s="212"/>
      <c r="AN70" s="212"/>
      <c r="AO70" s="212"/>
      <c r="AP70" s="212"/>
      <c r="AQ70" s="212"/>
      <c r="AR70" s="212"/>
      <c r="AS70" s="212"/>
      <c r="AT70" s="212"/>
    </row>
    <row r="71" spans="1:46" s="212" customFormat="1" ht="15" x14ac:dyDescent="0.25">
      <c r="A71" s="387">
        <v>4</v>
      </c>
      <c r="B71" s="358" t="s">
        <v>1326</v>
      </c>
      <c r="C71" s="388">
        <f t="shared" si="26"/>
        <v>0</v>
      </c>
      <c r="D71" s="388"/>
      <c r="E71" s="388"/>
      <c r="F71" s="366">
        <f t="shared" si="27"/>
        <v>1036</v>
      </c>
      <c r="G71" s="366">
        <f t="shared" si="28"/>
        <v>0</v>
      </c>
      <c r="H71" s="389"/>
      <c r="I71" s="389"/>
      <c r="J71" s="389"/>
      <c r="K71" s="389"/>
      <c r="L71" s="389"/>
      <c r="M71" s="389"/>
      <c r="N71" s="389"/>
      <c r="O71" s="390">
        <v>1036</v>
      </c>
      <c r="P71" s="390"/>
      <c r="Q71" s="219"/>
      <c r="S71" s="213"/>
      <c r="U71" s="214"/>
    </row>
    <row r="72" spans="1:46" ht="15" x14ac:dyDescent="0.25">
      <c r="A72" s="336" t="s">
        <v>77</v>
      </c>
      <c r="B72" s="336" t="s">
        <v>1076</v>
      </c>
      <c r="C72" s="359">
        <f t="shared" ref="C72:M72" si="29">SUM(C73:C74)</f>
        <v>0</v>
      </c>
      <c r="D72" s="359">
        <f t="shared" si="29"/>
        <v>0</v>
      </c>
      <c r="E72" s="359">
        <f t="shared" si="29"/>
        <v>0</v>
      </c>
      <c r="F72" s="360">
        <f>SUM(F73:F74)</f>
        <v>5572</v>
      </c>
      <c r="G72" s="360">
        <f t="shared" ref="G72:G74" si="30">H72+I72+J72++L72+M72</f>
        <v>0</v>
      </c>
      <c r="H72" s="360">
        <f t="shared" si="29"/>
        <v>0</v>
      </c>
      <c r="I72" s="360">
        <f t="shared" si="29"/>
        <v>0</v>
      </c>
      <c r="J72" s="360">
        <f t="shared" si="29"/>
        <v>0</v>
      </c>
      <c r="K72" s="360"/>
      <c r="L72" s="360">
        <f t="shared" si="29"/>
        <v>0</v>
      </c>
      <c r="M72" s="360">
        <f t="shared" si="29"/>
        <v>0</v>
      </c>
      <c r="N72" s="360"/>
      <c r="O72" s="359">
        <f>SUM(O73:O74)</f>
        <v>5572</v>
      </c>
      <c r="P72" s="370"/>
    </row>
    <row r="73" spans="1:46" ht="15" x14ac:dyDescent="0.25">
      <c r="A73" s="185">
        <v>1</v>
      </c>
      <c r="B73" s="364" t="s">
        <v>1483</v>
      </c>
      <c r="C73" s="365">
        <f>D73+E73</f>
        <v>0</v>
      </c>
      <c r="D73" s="365"/>
      <c r="E73" s="365"/>
      <c r="F73" s="366">
        <f t="shared" ref="F73:F79" si="31">G73+O73</f>
        <v>5250</v>
      </c>
      <c r="G73" s="366">
        <f t="shared" si="30"/>
        <v>0</v>
      </c>
      <c r="H73" s="366"/>
      <c r="I73" s="366"/>
      <c r="J73" s="366"/>
      <c r="K73" s="366"/>
      <c r="L73" s="366"/>
      <c r="M73" s="366"/>
      <c r="N73" s="366"/>
      <c r="O73" s="378">
        <v>5250</v>
      </c>
      <c r="P73" s="364"/>
    </row>
    <row r="74" spans="1:46" s="182" customFormat="1" ht="15" x14ac:dyDescent="0.25">
      <c r="A74" s="185">
        <v>2</v>
      </c>
      <c r="B74" s="364" t="s">
        <v>1501</v>
      </c>
      <c r="C74" s="365">
        <f>D74+E74</f>
        <v>0</v>
      </c>
      <c r="D74" s="365"/>
      <c r="E74" s="365"/>
      <c r="F74" s="366">
        <f t="shared" si="31"/>
        <v>322</v>
      </c>
      <c r="G74" s="366">
        <f t="shared" si="30"/>
        <v>0</v>
      </c>
      <c r="H74" s="366"/>
      <c r="I74" s="366"/>
      <c r="J74" s="366"/>
      <c r="K74" s="366"/>
      <c r="L74" s="366"/>
      <c r="M74" s="366"/>
      <c r="N74" s="366"/>
      <c r="O74" s="378">
        <v>322</v>
      </c>
      <c r="P74" s="364"/>
      <c r="Q74" s="187"/>
      <c r="T74" s="186"/>
    </row>
    <row r="75" spans="1:46" s="222" customFormat="1" ht="14.25" x14ac:dyDescent="0.2">
      <c r="A75" s="336" t="s">
        <v>113</v>
      </c>
      <c r="B75" s="370" t="s">
        <v>1288</v>
      </c>
      <c r="C75" s="359"/>
      <c r="D75" s="359"/>
      <c r="E75" s="359"/>
      <c r="F75" s="360">
        <f>SUM(F76:F79)</f>
        <v>3106</v>
      </c>
      <c r="G75" s="360">
        <f t="shared" ref="G75:O75" si="32">SUM(G76:G79)</f>
        <v>37</v>
      </c>
      <c r="H75" s="360">
        <f t="shared" si="32"/>
        <v>0</v>
      </c>
      <c r="I75" s="360">
        <f t="shared" si="32"/>
        <v>0</v>
      </c>
      <c r="J75" s="360">
        <f t="shared" si="32"/>
        <v>0</v>
      </c>
      <c r="K75" s="360"/>
      <c r="L75" s="360">
        <f t="shared" si="32"/>
        <v>0</v>
      </c>
      <c r="M75" s="360">
        <f t="shared" si="32"/>
        <v>0</v>
      </c>
      <c r="N75" s="360">
        <f t="shared" si="32"/>
        <v>0</v>
      </c>
      <c r="O75" s="360">
        <f t="shared" si="32"/>
        <v>3069</v>
      </c>
      <c r="P75" s="370"/>
      <c r="Q75" s="221"/>
      <c r="T75" s="223"/>
    </row>
    <row r="76" spans="1:46" s="222" customFormat="1" ht="15" x14ac:dyDescent="0.25">
      <c r="A76" s="185"/>
      <c r="B76" s="20" t="s">
        <v>1277</v>
      </c>
      <c r="C76" s="365"/>
      <c r="D76" s="365"/>
      <c r="E76" s="365"/>
      <c r="F76" s="366">
        <f>G76+O76</f>
        <v>2000</v>
      </c>
      <c r="G76" s="366">
        <f>H76+I76+J76+K76+L76+M76</f>
        <v>0</v>
      </c>
      <c r="H76" s="366"/>
      <c r="I76" s="366"/>
      <c r="J76" s="366"/>
      <c r="K76" s="366"/>
      <c r="L76" s="366"/>
      <c r="M76" s="366"/>
      <c r="N76" s="366"/>
      <c r="O76" s="366">
        <v>2000</v>
      </c>
      <c r="P76" s="364"/>
      <c r="Q76" s="221"/>
      <c r="T76" s="223"/>
    </row>
    <row r="77" spans="1:46" s="222" customFormat="1" ht="15" x14ac:dyDescent="0.25">
      <c r="A77" s="185"/>
      <c r="B77" s="391" t="s">
        <v>1484</v>
      </c>
      <c r="C77" s="365"/>
      <c r="D77" s="365"/>
      <c r="E77" s="365"/>
      <c r="F77" s="366">
        <f t="shared" si="31"/>
        <v>537</v>
      </c>
      <c r="G77" s="366">
        <f t="shared" ref="G77:G79" si="33">H77+I77+J77+K77+L77+M77</f>
        <v>37</v>
      </c>
      <c r="H77" s="366"/>
      <c r="I77" s="366"/>
      <c r="J77" s="366"/>
      <c r="K77" s="366">
        <v>37</v>
      </c>
      <c r="L77" s="366"/>
      <c r="M77" s="366"/>
      <c r="N77" s="366"/>
      <c r="O77" s="366">
        <v>500</v>
      </c>
      <c r="P77" s="364"/>
      <c r="Q77" s="221"/>
      <c r="T77" s="223"/>
    </row>
    <row r="78" spans="1:46" s="222" customFormat="1" ht="15" x14ac:dyDescent="0.25">
      <c r="A78" s="185"/>
      <c r="B78" s="20" t="s">
        <v>1289</v>
      </c>
      <c r="C78" s="365"/>
      <c r="D78" s="365"/>
      <c r="E78" s="365"/>
      <c r="F78" s="366">
        <f t="shared" si="31"/>
        <v>335</v>
      </c>
      <c r="G78" s="366">
        <f t="shared" si="33"/>
        <v>0</v>
      </c>
      <c r="H78" s="366"/>
      <c r="I78" s="366"/>
      <c r="J78" s="366"/>
      <c r="K78" s="366"/>
      <c r="L78" s="366"/>
      <c r="M78" s="366"/>
      <c r="N78" s="366"/>
      <c r="O78" s="366">
        <v>335</v>
      </c>
      <c r="P78" s="364"/>
      <c r="Q78" s="221"/>
      <c r="T78" s="223"/>
    </row>
    <row r="79" spans="1:46" s="222" customFormat="1" ht="15" x14ac:dyDescent="0.25">
      <c r="A79" s="185"/>
      <c r="B79" s="392" t="s">
        <v>1485</v>
      </c>
      <c r="C79" s="365"/>
      <c r="D79" s="365"/>
      <c r="E79" s="365"/>
      <c r="F79" s="366">
        <f t="shared" si="31"/>
        <v>234</v>
      </c>
      <c r="G79" s="366">
        <f t="shared" si="33"/>
        <v>0</v>
      </c>
      <c r="H79" s="366"/>
      <c r="I79" s="366"/>
      <c r="J79" s="366"/>
      <c r="K79" s="366"/>
      <c r="L79" s="366"/>
      <c r="M79" s="366"/>
      <c r="N79" s="366"/>
      <c r="O79" s="366">
        <v>234</v>
      </c>
      <c r="P79" s="364"/>
      <c r="Q79" s="221"/>
      <c r="T79" s="223"/>
    </row>
    <row r="80" spans="1:46" s="225" customFormat="1" ht="15" x14ac:dyDescent="0.25">
      <c r="A80" s="336" t="s">
        <v>400</v>
      </c>
      <c r="B80" s="370" t="s">
        <v>1077</v>
      </c>
      <c r="C80" s="359"/>
      <c r="D80" s="359"/>
      <c r="E80" s="359"/>
      <c r="F80" s="360">
        <f>O80</f>
        <v>2247</v>
      </c>
      <c r="G80" s="360"/>
      <c r="H80" s="360"/>
      <c r="I80" s="360"/>
      <c r="J80" s="360"/>
      <c r="K80" s="360"/>
      <c r="L80" s="360"/>
      <c r="M80" s="360"/>
      <c r="N80" s="360"/>
      <c r="O80" s="359">
        <f>2061+1416-78-134-727-291</f>
        <v>2247</v>
      </c>
      <c r="P80" s="362"/>
      <c r="Q80" s="224"/>
      <c r="T80" s="226"/>
    </row>
    <row r="81" spans="1:20" s="201" customFormat="1" ht="15" x14ac:dyDescent="0.25">
      <c r="A81" s="336" t="s">
        <v>620</v>
      </c>
      <c r="B81" s="370" t="s">
        <v>1078</v>
      </c>
      <c r="C81" s="359">
        <f>D81+E81</f>
        <v>0</v>
      </c>
      <c r="D81" s="359"/>
      <c r="E81" s="359"/>
      <c r="F81" s="360">
        <f>G81+O81</f>
        <v>3800</v>
      </c>
      <c r="G81" s="360">
        <f>H81+I81+J81++L81+M81</f>
        <v>0</v>
      </c>
      <c r="H81" s="360"/>
      <c r="I81" s="360"/>
      <c r="J81" s="360"/>
      <c r="K81" s="360"/>
      <c r="L81" s="360"/>
      <c r="M81" s="360"/>
      <c r="N81" s="360"/>
      <c r="O81" s="359">
        <v>3800</v>
      </c>
      <c r="P81" s="370"/>
      <c r="Q81" s="227"/>
      <c r="T81" s="203"/>
    </row>
    <row r="82" spans="1:20" s="209" customFormat="1" ht="15" x14ac:dyDescent="0.25">
      <c r="A82" s="336" t="s">
        <v>1166</v>
      </c>
      <c r="B82" s="370" t="s">
        <v>618</v>
      </c>
      <c r="C82" s="359">
        <f>D82+E82</f>
        <v>0</v>
      </c>
      <c r="D82" s="359"/>
      <c r="E82" s="359"/>
      <c r="F82" s="360">
        <f>G82+O82</f>
        <v>11779.647020640001</v>
      </c>
      <c r="G82" s="360">
        <f>H82+I82+J82++L82+M82</f>
        <v>0</v>
      </c>
      <c r="H82" s="360"/>
      <c r="I82" s="360"/>
      <c r="J82" s="360"/>
      <c r="K82" s="360"/>
      <c r="L82" s="360"/>
      <c r="M82" s="360"/>
      <c r="N82" s="360"/>
      <c r="O82" s="362">
        <f>13883-'PL 06'!C43</f>
        <v>11779.647020640001</v>
      </c>
      <c r="P82" s="370"/>
      <c r="Q82" s="228" t="e">
        <f>12249-#REF!</f>
        <v>#REF!</v>
      </c>
      <c r="T82" s="211"/>
    </row>
    <row r="83" spans="1:20" ht="15" x14ac:dyDescent="0.25">
      <c r="A83" s="185"/>
      <c r="B83" s="364"/>
      <c r="C83" s="378"/>
      <c r="D83" s="378"/>
      <c r="E83" s="378"/>
      <c r="F83" s="393"/>
      <c r="G83" s="393"/>
      <c r="H83" s="393"/>
      <c r="I83" s="393"/>
      <c r="J83" s="393"/>
      <c r="K83" s="393"/>
      <c r="L83" s="394"/>
      <c r="M83" s="393"/>
      <c r="N83" s="393"/>
      <c r="O83" s="378"/>
      <c r="P83" s="364"/>
      <c r="Q83" s="180"/>
    </row>
    <row r="84" spans="1:20" ht="15.95" customHeight="1" x14ac:dyDescent="0.25">
      <c r="A84" s="21" t="s">
        <v>1225</v>
      </c>
      <c r="B84" s="193"/>
      <c r="O84" s="180"/>
    </row>
    <row r="85" spans="1:20" ht="15.95" customHeight="1" x14ac:dyDescent="0.25">
      <c r="A85" s="136"/>
      <c r="B85" s="83" t="s">
        <v>1486</v>
      </c>
      <c r="C85" s="180"/>
      <c r="D85" s="180"/>
      <c r="E85" s="180"/>
      <c r="O85" s="180"/>
    </row>
    <row r="86" spans="1:20" ht="15.95" customHeight="1" x14ac:dyDescent="0.25">
      <c r="A86" s="136"/>
      <c r="B86" s="83" t="s">
        <v>1558</v>
      </c>
      <c r="C86" s="180"/>
      <c r="D86" s="180"/>
      <c r="E86" s="180"/>
      <c r="O86" s="180"/>
      <c r="P86" s="180"/>
    </row>
    <row r="87" spans="1:20" ht="15.95" customHeight="1" x14ac:dyDescent="0.25">
      <c r="A87" s="136"/>
      <c r="B87" s="83" t="s">
        <v>1559</v>
      </c>
      <c r="C87" s="83" t="s">
        <v>1152</v>
      </c>
    </row>
    <row r="88" spans="1:20" ht="15.95" customHeight="1" x14ac:dyDescent="0.25">
      <c r="A88" s="136"/>
    </row>
    <row r="89" spans="1:20" ht="15.95" customHeight="1" x14ac:dyDescent="0.25">
      <c r="A89" s="136"/>
    </row>
    <row r="90" spans="1:20" ht="15.95" customHeight="1" x14ac:dyDescent="0.25">
      <c r="A90" s="136"/>
    </row>
    <row r="91" spans="1:20" ht="15.95" customHeight="1" x14ac:dyDescent="0.25">
      <c r="A91" s="136"/>
    </row>
    <row r="92" spans="1:20" ht="15.95" customHeight="1" x14ac:dyDescent="0.25">
      <c r="A92" s="136"/>
    </row>
    <row r="93" spans="1:20" ht="15.95" customHeight="1" x14ac:dyDescent="0.25">
      <c r="A93" s="136"/>
    </row>
    <row r="94" spans="1:20" ht="15.95" customHeight="1" x14ac:dyDescent="0.25">
      <c r="A94" s="136"/>
    </row>
    <row r="95" spans="1:20" ht="15.95" customHeight="1" x14ac:dyDescent="0.25">
      <c r="A95" s="136"/>
    </row>
    <row r="96" spans="1:20" ht="15.95" customHeight="1" x14ac:dyDescent="0.25">
      <c r="A96" s="136"/>
    </row>
    <row r="97" spans="1:1" ht="15.95" customHeight="1" x14ac:dyDescent="0.25">
      <c r="A97" s="136"/>
    </row>
    <row r="98" spans="1:1" ht="15.95" customHeight="1" x14ac:dyDescent="0.25">
      <c r="A98" s="136"/>
    </row>
    <row r="99" spans="1:1" ht="15.95" customHeight="1" x14ac:dyDescent="0.25">
      <c r="A99" s="136"/>
    </row>
    <row r="100" spans="1:1" ht="15.95" customHeight="1" x14ac:dyDescent="0.25">
      <c r="A100" s="136"/>
    </row>
    <row r="101" spans="1:1" ht="15.95" customHeight="1" x14ac:dyDescent="0.25">
      <c r="A101" s="136"/>
    </row>
    <row r="102" spans="1:1" ht="15.95" customHeight="1" x14ac:dyDescent="0.25">
      <c r="A102" s="136"/>
    </row>
    <row r="103" spans="1:1" ht="15.95" customHeight="1" x14ac:dyDescent="0.25">
      <c r="A103" s="136"/>
    </row>
    <row r="104" spans="1:1" ht="15.95" customHeight="1" x14ac:dyDescent="0.25">
      <c r="A104" s="136"/>
    </row>
    <row r="105" spans="1:1" ht="15.95" customHeight="1" x14ac:dyDescent="0.25">
      <c r="A105" s="136"/>
    </row>
    <row r="106" spans="1:1" ht="15.95" customHeight="1" x14ac:dyDescent="0.25">
      <c r="A106" s="136"/>
    </row>
    <row r="107" spans="1:1" ht="15.95" customHeight="1" x14ac:dyDescent="0.25">
      <c r="A107" s="136"/>
    </row>
    <row r="108" spans="1:1" ht="15.95" customHeight="1" x14ac:dyDescent="0.25">
      <c r="A108" s="136"/>
    </row>
    <row r="109" spans="1:1" ht="15.95" customHeight="1" x14ac:dyDescent="0.25">
      <c r="A109" s="136"/>
    </row>
    <row r="110" spans="1:1" ht="15.95" customHeight="1" x14ac:dyDescent="0.25">
      <c r="A110" s="136"/>
    </row>
    <row r="111" spans="1:1" ht="15.95" customHeight="1" x14ac:dyDescent="0.25">
      <c r="A111" s="136"/>
    </row>
    <row r="112" spans="1:1" ht="15.95" customHeight="1" x14ac:dyDescent="0.25">
      <c r="A112" s="136"/>
    </row>
    <row r="113" spans="1:1" ht="15.95" customHeight="1" x14ac:dyDescent="0.25">
      <c r="A113" s="136"/>
    </row>
    <row r="114" spans="1:1" ht="15.95" customHeight="1" x14ac:dyDescent="0.25">
      <c r="A114" s="136"/>
    </row>
    <row r="115" spans="1:1" ht="15.95" customHeight="1" x14ac:dyDescent="0.25">
      <c r="A115" s="136"/>
    </row>
    <row r="116" spans="1:1" ht="15.95" customHeight="1" x14ac:dyDescent="0.25">
      <c r="A116" s="136"/>
    </row>
    <row r="117" spans="1:1" ht="15.95" customHeight="1" x14ac:dyDescent="0.25">
      <c r="A117" s="136"/>
    </row>
    <row r="118" spans="1:1" ht="15.95" customHeight="1" x14ac:dyDescent="0.25">
      <c r="A118" s="136"/>
    </row>
    <row r="119" spans="1:1" ht="15.95" customHeight="1" x14ac:dyDescent="0.25">
      <c r="A119" s="136"/>
    </row>
    <row r="120" spans="1:1" ht="15.95" customHeight="1" x14ac:dyDescent="0.25">
      <c r="A120" s="136"/>
    </row>
    <row r="121" spans="1:1" ht="15.95" customHeight="1" x14ac:dyDescent="0.25">
      <c r="A121" s="136"/>
    </row>
    <row r="122" spans="1:1" ht="15.95" customHeight="1" x14ac:dyDescent="0.25">
      <c r="A122" s="136"/>
    </row>
    <row r="123" spans="1:1" ht="15.95" customHeight="1" x14ac:dyDescent="0.25">
      <c r="A123" s="136"/>
    </row>
    <row r="124" spans="1:1" ht="15.95" customHeight="1" x14ac:dyDescent="0.25">
      <c r="A124" s="136"/>
    </row>
    <row r="125" spans="1:1" ht="15.95" customHeight="1" x14ac:dyDescent="0.25">
      <c r="A125" s="136"/>
    </row>
    <row r="126" spans="1:1" ht="15.95" customHeight="1" x14ac:dyDescent="0.25">
      <c r="A126" s="136"/>
    </row>
    <row r="127" spans="1:1" ht="15.95" customHeight="1" x14ac:dyDescent="0.25">
      <c r="A127" s="136"/>
    </row>
    <row r="128" spans="1:1" ht="15.95" customHeight="1" x14ac:dyDescent="0.25">
      <c r="A128" s="136"/>
    </row>
    <row r="129" spans="1:1" ht="15.95" customHeight="1" x14ac:dyDescent="0.25">
      <c r="A129" s="136"/>
    </row>
    <row r="130" spans="1:1" ht="15.95" customHeight="1" x14ac:dyDescent="0.25">
      <c r="A130" s="136"/>
    </row>
    <row r="131" spans="1:1" ht="15.95" customHeight="1" x14ac:dyDescent="0.25">
      <c r="A131" s="136"/>
    </row>
    <row r="132" spans="1:1" ht="15.95" customHeight="1" x14ac:dyDescent="0.25">
      <c r="A132" s="136"/>
    </row>
    <row r="133" spans="1:1" ht="15.95" customHeight="1" x14ac:dyDescent="0.25">
      <c r="A133" s="136"/>
    </row>
    <row r="134" spans="1:1" ht="15.95" customHeight="1" x14ac:dyDescent="0.25">
      <c r="A134" s="136"/>
    </row>
    <row r="135" spans="1:1" ht="15.95" customHeight="1" x14ac:dyDescent="0.25">
      <c r="A135" s="136"/>
    </row>
    <row r="136" spans="1:1" ht="15.95" customHeight="1" x14ac:dyDescent="0.25">
      <c r="A136" s="136"/>
    </row>
    <row r="137" spans="1:1" ht="15.95" customHeight="1" x14ac:dyDescent="0.25">
      <c r="A137" s="136"/>
    </row>
    <row r="138" spans="1:1" ht="15.95" customHeight="1" x14ac:dyDescent="0.25">
      <c r="A138" s="136"/>
    </row>
    <row r="139" spans="1:1" ht="15.95" customHeight="1" x14ac:dyDescent="0.25">
      <c r="A139" s="136"/>
    </row>
    <row r="140" spans="1:1" ht="15.95" customHeight="1" x14ac:dyDescent="0.25">
      <c r="A140" s="136"/>
    </row>
    <row r="141" spans="1:1" ht="15.95" customHeight="1" x14ac:dyDescent="0.25">
      <c r="A141" s="136"/>
    </row>
    <row r="142" spans="1:1" ht="15.95" customHeight="1" x14ac:dyDescent="0.25">
      <c r="A142" s="136"/>
    </row>
    <row r="143" spans="1:1" ht="15.95" customHeight="1" x14ac:dyDescent="0.25">
      <c r="A143" s="136"/>
    </row>
    <row r="144" spans="1:1" ht="15.95" customHeight="1" x14ac:dyDescent="0.25">
      <c r="A144" s="136"/>
    </row>
    <row r="145" spans="1:1" ht="15.95" customHeight="1" x14ac:dyDescent="0.25">
      <c r="A145" s="136"/>
    </row>
    <row r="146" spans="1:1" ht="15.95" customHeight="1" x14ac:dyDescent="0.25">
      <c r="A146" s="136"/>
    </row>
    <row r="147" spans="1:1" ht="15.95" customHeight="1" x14ac:dyDescent="0.25">
      <c r="A147" s="136"/>
    </row>
    <row r="148" spans="1:1" ht="15.95" customHeight="1" x14ac:dyDescent="0.25">
      <c r="A148" s="136"/>
    </row>
    <row r="149" spans="1:1" ht="15.95" customHeight="1" x14ac:dyDescent="0.25">
      <c r="A149" s="136"/>
    </row>
    <row r="150" spans="1:1" ht="15.95" customHeight="1" x14ac:dyDescent="0.25">
      <c r="A150" s="136"/>
    </row>
    <row r="151" spans="1:1" ht="15.95" customHeight="1" x14ac:dyDescent="0.25">
      <c r="A151" s="136"/>
    </row>
    <row r="152" spans="1:1" ht="15.95" customHeight="1" x14ac:dyDescent="0.25">
      <c r="A152" s="136"/>
    </row>
    <row r="153" spans="1:1" ht="15.95" customHeight="1" x14ac:dyDescent="0.25">
      <c r="A153" s="136"/>
    </row>
    <row r="154" spans="1:1" ht="15.95" customHeight="1" x14ac:dyDescent="0.25">
      <c r="A154" s="136"/>
    </row>
    <row r="155" spans="1:1" ht="15.95" customHeight="1" x14ac:dyDescent="0.25">
      <c r="A155" s="136"/>
    </row>
    <row r="156" spans="1:1" ht="15.95" customHeight="1" x14ac:dyDescent="0.25">
      <c r="A156" s="136"/>
    </row>
    <row r="157" spans="1:1" ht="15.95" customHeight="1" x14ac:dyDescent="0.25">
      <c r="A157" s="136"/>
    </row>
    <row r="158" spans="1:1" ht="15.95" customHeight="1" x14ac:dyDescent="0.25">
      <c r="A158" s="136"/>
    </row>
    <row r="159" spans="1:1" ht="15.95" customHeight="1" x14ac:dyDescent="0.25">
      <c r="A159" s="136"/>
    </row>
    <row r="160" spans="1:1" ht="15.95" customHeight="1" x14ac:dyDescent="0.25">
      <c r="A160" s="136"/>
    </row>
    <row r="161" spans="1:1" ht="15.95" customHeight="1" x14ac:dyDescent="0.25">
      <c r="A161" s="136"/>
    </row>
    <row r="162" spans="1:1" ht="15.95" customHeight="1" x14ac:dyDescent="0.25">
      <c r="A162" s="136"/>
    </row>
    <row r="163" spans="1:1" ht="15.95" customHeight="1" x14ac:dyDescent="0.25">
      <c r="A163" s="136"/>
    </row>
    <row r="164" spans="1:1" ht="15.95" customHeight="1" x14ac:dyDescent="0.25">
      <c r="A164" s="136"/>
    </row>
    <row r="165" spans="1:1" ht="15.95" customHeight="1" x14ac:dyDescent="0.25">
      <c r="A165" s="136"/>
    </row>
    <row r="166" spans="1:1" ht="15.95" customHeight="1" x14ac:dyDescent="0.25">
      <c r="A166" s="136"/>
    </row>
    <row r="167" spans="1:1" ht="15.95" customHeight="1" x14ac:dyDescent="0.25">
      <c r="A167" s="136"/>
    </row>
    <row r="168" spans="1:1" ht="15.95" customHeight="1" x14ac:dyDescent="0.25">
      <c r="A168" s="136"/>
    </row>
    <row r="169" spans="1:1" ht="15.95" customHeight="1" x14ac:dyDescent="0.25">
      <c r="A169" s="136"/>
    </row>
  </sheetData>
  <mergeCells count="25">
    <mergeCell ref="P6:P13"/>
    <mergeCell ref="C7:C13"/>
    <mergeCell ref="D7:D13"/>
    <mergeCell ref="E7:E13"/>
    <mergeCell ref="F7:F13"/>
    <mergeCell ref="O7:O13"/>
    <mergeCell ref="M9:M13"/>
    <mergeCell ref="N9:N13"/>
    <mergeCell ref="G7:N7"/>
    <mergeCell ref="G8:G13"/>
    <mergeCell ref="H9:H13"/>
    <mergeCell ref="I9:I13"/>
    <mergeCell ref="J9:J13"/>
    <mergeCell ref="L9:L13"/>
    <mergeCell ref="H8:N8"/>
    <mergeCell ref="C6:E6"/>
    <mergeCell ref="F6:O6"/>
    <mergeCell ref="A6:A13"/>
    <mergeCell ref="B6:B13"/>
    <mergeCell ref="K9:K13"/>
    <mergeCell ref="A4:P4"/>
    <mergeCell ref="M1:P1"/>
    <mergeCell ref="A2:P2"/>
    <mergeCell ref="A3:P3"/>
    <mergeCell ref="N5:P5"/>
  </mergeCells>
  <printOptions horizontalCentered="1"/>
  <pageMargins left="0" right="0" top="0.21" bottom="0.38" header="0.2" footer="0.196850393700787"/>
  <pageSetup paperSize="9" scale="75" orientation="landscape" verticalDpi="0" r:id="rId1"/>
  <headerFooter>
    <oddFooter>&amp;F&amp;RPage &amp;P</oddFooter>
  </headerFooter>
  <legacy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FF0000"/>
  </sheetPr>
  <dimension ref="A1:R11"/>
  <sheetViews>
    <sheetView workbookViewId="0">
      <selection activeCell="C10" sqref="C10"/>
    </sheetView>
  </sheetViews>
  <sheetFormatPr defaultRowHeight="15" x14ac:dyDescent="0.25"/>
  <cols>
    <col min="1" max="1" width="6.28515625" customWidth="1"/>
    <col min="2" max="2" width="34" customWidth="1"/>
  </cols>
  <sheetData>
    <row r="1" spans="1:18" ht="15.75" x14ac:dyDescent="0.25">
      <c r="R1" s="25" t="s">
        <v>621</v>
      </c>
    </row>
    <row r="2" spans="1:18" ht="15.75" x14ac:dyDescent="0.25">
      <c r="A2" s="414" t="s">
        <v>622</v>
      </c>
      <c r="B2" s="414"/>
      <c r="C2" s="414"/>
      <c r="D2" s="414"/>
      <c r="E2" s="414"/>
      <c r="F2" s="414"/>
      <c r="G2" s="414"/>
      <c r="H2" s="414"/>
      <c r="I2" s="414"/>
      <c r="J2" s="414"/>
      <c r="K2" s="414"/>
      <c r="L2" s="414"/>
      <c r="M2" s="414"/>
      <c r="N2" s="414"/>
      <c r="O2" s="414"/>
      <c r="P2" s="414"/>
      <c r="Q2" s="414"/>
      <c r="R2" s="414"/>
    </row>
    <row r="3" spans="1:18" ht="15.75" x14ac:dyDescent="0.25">
      <c r="A3" s="414" t="s">
        <v>126</v>
      </c>
      <c r="B3" s="414"/>
      <c r="C3" s="414"/>
      <c r="D3" s="414"/>
      <c r="E3" s="414"/>
      <c r="F3" s="414"/>
      <c r="G3" s="414"/>
      <c r="H3" s="414"/>
      <c r="I3" s="414"/>
      <c r="J3" s="414"/>
      <c r="K3" s="414"/>
      <c r="L3" s="414"/>
      <c r="M3" s="414"/>
      <c r="N3" s="414"/>
      <c r="O3" s="414"/>
      <c r="P3" s="414"/>
      <c r="Q3" s="414"/>
      <c r="R3" s="414"/>
    </row>
    <row r="4" spans="1:18" ht="15.75" x14ac:dyDescent="0.25">
      <c r="R4" s="26" t="s">
        <v>56</v>
      </c>
    </row>
    <row r="5" spans="1:18" ht="15.75" x14ac:dyDescent="0.25">
      <c r="A5" s="449" t="s">
        <v>3</v>
      </c>
      <c r="B5" s="449" t="s">
        <v>161</v>
      </c>
      <c r="C5" s="449" t="s">
        <v>130</v>
      </c>
      <c r="D5" s="449" t="s">
        <v>393</v>
      </c>
      <c r="E5" s="449" t="s">
        <v>394</v>
      </c>
      <c r="F5" s="449" t="s">
        <v>501</v>
      </c>
      <c r="G5" s="449" t="s">
        <v>502</v>
      </c>
      <c r="H5" s="449" t="s">
        <v>503</v>
      </c>
      <c r="I5" s="449" t="s">
        <v>504</v>
      </c>
      <c r="J5" s="449" t="s">
        <v>505</v>
      </c>
      <c r="K5" s="449" t="s">
        <v>506</v>
      </c>
      <c r="L5" s="449" t="s">
        <v>507</v>
      </c>
      <c r="M5" s="449" t="s">
        <v>508</v>
      </c>
      <c r="N5" s="449" t="s">
        <v>162</v>
      </c>
      <c r="O5" s="449"/>
      <c r="P5" s="449" t="s">
        <v>509</v>
      </c>
      <c r="Q5" s="449" t="s">
        <v>510</v>
      </c>
      <c r="R5" s="449" t="s">
        <v>511</v>
      </c>
    </row>
    <row r="6" spans="1:18" ht="110.25" x14ac:dyDescent="0.25">
      <c r="A6" s="449"/>
      <c r="B6" s="449"/>
      <c r="C6" s="449"/>
      <c r="D6" s="449"/>
      <c r="E6" s="449"/>
      <c r="F6" s="449"/>
      <c r="G6" s="449"/>
      <c r="H6" s="449"/>
      <c r="I6" s="449"/>
      <c r="J6" s="449"/>
      <c r="K6" s="449"/>
      <c r="L6" s="449"/>
      <c r="M6" s="449"/>
      <c r="N6" s="29" t="s">
        <v>532</v>
      </c>
      <c r="O6" s="29" t="s">
        <v>533</v>
      </c>
      <c r="P6" s="449"/>
      <c r="Q6" s="449"/>
      <c r="R6" s="449"/>
    </row>
    <row r="7" spans="1:18"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row>
    <row r="8" spans="1:18" ht="32.25" customHeight="1" x14ac:dyDescent="0.25">
      <c r="A8" s="29"/>
      <c r="B8" s="30" t="s">
        <v>133</v>
      </c>
      <c r="C8" s="30"/>
      <c r="D8" s="30"/>
      <c r="E8" s="30"/>
      <c r="F8" s="30"/>
      <c r="G8" s="30"/>
      <c r="H8" s="30"/>
      <c r="I8" s="30"/>
      <c r="J8" s="30"/>
      <c r="K8" s="30"/>
      <c r="L8" s="30"/>
      <c r="M8" s="30"/>
      <c r="N8" s="30"/>
      <c r="O8" s="30"/>
      <c r="P8" s="30"/>
      <c r="Q8" s="30"/>
      <c r="R8" s="30"/>
    </row>
    <row r="9" spans="1:18" ht="32.25" customHeight="1" x14ac:dyDescent="0.25">
      <c r="A9" s="29">
        <v>1</v>
      </c>
      <c r="B9" s="30" t="s">
        <v>166</v>
      </c>
      <c r="C9" s="30"/>
      <c r="D9" s="30"/>
      <c r="E9" s="30"/>
      <c r="F9" s="30"/>
      <c r="G9" s="30"/>
      <c r="H9" s="30"/>
      <c r="I9" s="30"/>
      <c r="J9" s="30"/>
      <c r="K9" s="30"/>
      <c r="L9" s="30"/>
      <c r="M9" s="30"/>
      <c r="N9" s="30"/>
      <c r="O9" s="30"/>
      <c r="P9" s="30"/>
      <c r="Q9" s="30"/>
      <c r="R9" s="30"/>
    </row>
    <row r="10" spans="1:18" ht="32.25" customHeight="1" x14ac:dyDescent="0.25">
      <c r="A10" s="29">
        <v>2</v>
      </c>
      <c r="B10" s="30" t="s">
        <v>167</v>
      </c>
      <c r="C10" s="30"/>
      <c r="D10" s="30"/>
      <c r="E10" s="30"/>
      <c r="F10" s="30"/>
      <c r="G10" s="30"/>
      <c r="H10" s="30"/>
      <c r="I10" s="30"/>
      <c r="J10" s="30"/>
      <c r="K10" s="30"/>
      <c r="L10" s="30"/>
      <c r="M10" s="30"/>
      <c r="N10" s="30"/>
      <c r="O10" s="30"/>
      <c r="P10" s="30"/>
      <c r="Q10" s="30"/>
      <c r="R10" s="30"/>
    </row>
    <row r="11" spans="1:18" ht="32.25" customHeight="1" x14ac:dyDescent="0.25">
      <c r="A11" s="29">
        <v>3</v>
      </c>
      <c r="B11" s="30" t="s">
        <v>205</v>
      </c>
      <c r="C11" s="30"/>
      <c r="D11" s="30"/>
      <c r="E11" s="30"/>
      <c r="F11" s="30"/>
      <c r="G11" s="30"/>
      <c r="H11" s="30"/>
      <c r="I11" s="30"/>
      <c r="J11" s="30"/>
      <c r="K11" s="30"/>
      <c r="L11" s="30"/>
      <c r="M11" s="30"/>
      <c r="N11" s="30"/>
      <c r="O11" s="30"/>
      <c r="P11" s="30"/>
      <c r="Q11" s="30"/>
      <c r="R11" s="30"/>
    </row>
  </sheetData>
  <mergeCells count="19">
    <mergeCell ref="D5:D6"/>
    <mergeCell ref="E5:E6"/>
    <mergeCell ref="F5:F6"/>
    <mergeCell ref="A2:R2"/>
    <mergeCell ref="A3:R3"/>
    <mergeCell ref="M5:M6"/>
    <mergeCell ref="N5:O5"/>
    <mergeCell ref="P5:P6"/>
    <mergeCell ref="Q5:Q6"/>
    <mergeCell ref="R5:R6"/>
    <mergeCell ref="G5:G6"/>
    <mergeCell ref="H5:H6"/>
    <mergeCell ref="I5:I6"/>
    <mergeCell ref="J5:J6"/>
    <mergeCell ref="K5:K6"/>
    <mergeCell ref="L5:L6"/>
    <mergeCell ref="A5:A6"/>
    <mergeCell ref="B5:B6"/>
    <mergeCell ref="C5:C6"/>
  </mergeCells>
  <pageMargins left="0.7" right="0.7" top="0.75" bottom="0.75" header="0.3" footer="0.3"/>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00B050"/>
  </sheetPr>
  <dimension ref="A1:S34"/>
  <sheetViews>
    <sheetView workbookViewId="0">
      <selection activeCell="A2" sqref="A2:S2"/>
    </sheetView>
  </sheetViews>
  <sheetFormatPr defaultRowHeight="15" x14ac:dyDescent="0.25"/>
  <cols>
    <col min="1" max="1" width="6.42578125" customWidth="1"/>
    <col min="2" max="2" width="39.5703125" customWidth="1"/>
    <col min="3" max="3" width="12.42578125" bestFit="1" customWidth="1"/>
    <col min="4" max="4" width="10.7109375" bestFit="1" customWidth="1"/>
    <col min="5" max="5" width="9.5703125" customWidth="1"/>
    <col min="9" max="9" width="10.140625" customWidth="1"/>
    <col min="10" max="10" width="9.5703125" bestFit="1" customWidth="1"/>
    <col min="11" max="11" width="10.5703125" customWidth="1"/>
    <col min="13" max="13" width="10.5703125" customWidth="1"/>
    <col min="15" max="15" width="11.5703125" customWidth="1"/>
    <col min="16" max="16" width="10.42578125" customWidth="1"/>
    <col min="17" max="17" width="9.7109375" customWidth="1"/>
    <col min="18" max="18" width="9.5703125" bestFit="1" customWidth="1"/>
  </cols>
  <sheetData>
    <row r="1" spans="1:19" ht="15.75" x14ac:dyDescent="0.25">
      <c r="R1" s="25" t="s">
        <v>388</v>
      </c>
    </row>
    <row r="2" spans="1:19" ht="15.75" x14ac:dyDescent="0.25">
      <c r="A2" s="414" t="s">
        <v>1294</v>
      </c>
      <c r="B2" s="414"/>
      <c r="C2" s="414"/>
      <c r="D2" s="414"/>
      <c r="E2" s="414"/>
      <c r="F2" s="414"/>
      <c r="G2" s="414"/>
      <c r="H2" s="414"/>
      <c r="I2" s="414"/>
      <c r="J2" s="414"/>
      <c r="K2" s="414"/>
      <c r="L2" s="414"/>
      <c r="M2" s="414"/>
      <c r="N2" s="414"/>
      <c r="O2" s="414"/>
      <c r="P2" s="414"/>
      <c r="Q2" s="414"/>
      <c r="R2" s="414"/>
    </row>
    <row r="3" spans="1:19" ht="16.5" x14ac:dyDescent="0.25">
      <c r="A3" s="443" t="s">
        <v>1290</v>
      </c>
      <c r="B3" s="443"/>
      <c r="C3" s="443"/>
      <c r="D3" s="443"/>
      <c r="E3" s="443"/>
      <c r="F3" s="443"/>
      <c r="G3" s="443"/>
      <c r="H3" s="443"/>
      <c r="I3" s="443"/>
      <c r="J3" s="443"/>
      <c r="K3" s="443"/>
      <c r="L3" s="443"/>
      <c r="M3" s="443"/>
      <c r="N3" s="443"/>
      <c r="O3" s="443"/>
      <c r="P3" s="443"/>
      <c r="Q3" s="443"/>
      <c r="R3" s="443"/>
    </row>
    <row r="4" spans="1:19" ht="16.5" hidden="1" x14ac:dyDescent="0.25">
      <c r="A4" s="443" t="s">
        <v>1287</v>
      </c>
      <c r="B4" s="443"/>
      <c r="C4" s="443"/>
      <c r="D4" s="443"/>
      <c r="E4" s="443"/>
      <c r="F4" s="443"/>
      <c r="G4" s="443"/>
      <c r="H4" s="443"/>
      <c r="I4" s="443"/>
      <c r="J4" s="443"/>
      <c r="K4" s="443"/>
      <c r="L4" s="443"/>
      <c r="M4" s="443"/>
      <c r="N4" s="443"/>
      <c r="O4" s="443"/>
      <c r="P4" s="443"/>
      <c r="Q4" s="443"/>
      <c r="R4" s="443"/>
    </row>
    <row r="5" spans="1:19" ht="16.5" hidden="1" customHeight="1" x14ac:dyDescent="0.25">
      <c r="A5" s="443" t="s">
        <v>1287</v>
      </c>
      <c r="B5" s="443"/>
      <c r="C5" s="443"/>
      <c r="D5" s="443"/>
      <c r="E5" s="443"/>
      <c r="F5" s="443"/>
      <c r="G5" s="443"/>
      <c r="H5" s="443"/>
      <c r="I5" s="443"/>
      <c r="J5" s="443"/>
      <c r="K5" s="443"/>
      <c r="L5" s="443"/>
      <c r="M5" s="443"/>
      <c r="N5" s="443"/>
      <c r="O5" s="443"/>
      <c r="P5" s="443"/>
      <c r="Q5" s="443"/>
      <c r="R5" s="443"/>
      <c r="S5" s="158"/>
    </row>
    <row r="6" spans="1:19" ht="15.75" x14ac:dyDescent="0.25">
      <c r="D6" s="67"/>
      <c r="R6" s="26" t="s">
        <v>56</v>
      </c>
    </row>
    <row r="7" spans="1:19" ht="15.75" x14ac:dyDescent="0.25">
      <c r="A7" s="449" t="s">
        <v>3</v>
      </c>
      <c r="B7" s="449" t="s">
        <v>161</v>
      </c>
      <c r="C7" s="449" t="s">
        <v>130</v>
      </c>
      <c r="D7" s="449" t="s">
        <v>393</v>
      </c>
      <c r="E7" s="449" t="s">
        <v>394</v>
      </c>
      <c r="F7" s="449" t="s">
        <v>501</v>
      </c>
      <c r="G7" s="449" t="s">
        <v>502</v>
      </c>
      <c r="H7" s="449" t="s">
        <v>1155</v>
      </c>
      <c r="I7" s="449" t="s">
        <v>504</v>
      </c>
      <c r="J7" s="449" t="s">
        <v>1165</v>
      </c>
      <c r="K7" s="449" t="s">
        <v>506</v>
      </c>
      <c r="L7" s="449" t="s">
        <v>507</v>
      </c>
      <c r="M7" s="449" t="s">
        <v>508</v>
      </c>
      <c r="N7" s="449" t="s">
        <v>162</v>
      </c>
      <c r="O7" s="449"/>
      <c r="P7" s="449" t="s">
        <v>509</v>
      </c>
      <c r="Q7" s="449" t="s">
        <v>510</v>
      </c>
      <c r="R7" s="449" t="s">
        <v>512</v>
      </c>
    </row>
    <row r="8" spans="1:19" ht="94.5" x14ac:dyDescent="0.25">
      <c r="A8" s="449"/>
      <c r="B8" s="449"/>
      <c r="C8" s="449"/>
      <c r="D8" s="449"/>
      <c r="E8" s="449"/>
      <c r="F8" s="449"/>
      <c r="G8" s="449"/>
      <c r="H8" s="449"/>
      <c r="I8" s="449"/>
      <c r="J8" s="449"/>
      <c r="K8" s="449"/>
      <c r="L8" s="449"/>
      <c r="M8" s="449"/>
      <c r="N8" s="29" t="s">
        <v>532</v>
      </c>
      <c r="O8" s="29" t="s">
        <v>533</v>
      </c>
      <c r="P8" s="449"/>
      <c r="Q8" s="449"/>
      <c r="R8" s="449"/>
    </row>
    <row r="9" spans="1:19" ht="15.75" x14ac:dyDescent="0.25">
      <c r="A9" s="29" t="s">
        <v>15</v>
      </c>
      <c r="B9" s="29" t="s">
        <v>16</v>
      </c>
      <c r="C9" s="29">
        <v>1</v>
      </c>
      <c r="D9" s="29">
        <v>2</v>
      </c>
      <c r="E9" s="29">
        <v>3</v>
      </c>
      <c r="F9" s="29">
        <v>4</v>
      </c>
      <c r="G9" s="29">
        <v>5</v>
      </c>
      <c r="H9" s="29">
        <v>6</v>
      </c>
      <c r="I9" s="29">
        <v>7</v>
      </c>
      <c r="J9" s="29">
        <v>8</v>
      </c>
      <c r="K9" s="29">
        <v>9</v>
      </c>
      <c r="L9" s="29">
        <v>10</v>
      </c>
      <c r="M9" s="29">
        <v>11</v>
      </c>
      <c r="N9" s="29">
        <v>12</v>
      </c>
      <c r="O9" s="29">
        <v>13</v>
      </c>
      <c r="P9" s="29">
        <v>14</v>
      </c>
      <c r="Q9" s="29">
        <v>15</v>
      </c>
      <c r="R9" s="29">
        <v>16</v>
      </c>
    </row>
    <row r="10" spans="1:19" ht="20.100000000000001" customHeight="1" x14ac:dyDescent="0.25">
      <c r="A10" s="86"/>
      <c r="B10" s="87" t="s">
        <v>133</v>
      </c>
      <c r="C10" s="88" t="e">
        <f t="shared" ref="C10:R10" si="0">C11+C15+C20+C21+C22+C27+C30+C31+C32+C33</f>
        <v>#REF!</v>
      </c>
      <c r="D10" s="88" t="e">
        <f t="shared" si="0"/>
        <v>#REF!</v>
      </c>
      <c r="E10" s="88">
        <f t="shared" si="0"/>
        <v>560</v>
      </c>
      <c r="F10" s="88">
        <f t="shared" si="0"/>
        <v>2000</v>
      </c>
      <c r="G10" s="88">
        <f t="shared" si="0"/>
        <v>537</v>
      </c>
      <c r="H10" s="88">
        <f t="shared" si="0"/>
        <v>490.45600000000002</v>
      </c>
      <c r="I10" s="88">
        <f t="shared" si="0"/>
        <v>1525.63608</v>
      </c>
      <c r="J10" s="88">
        <f t="shared" si="0"/>
        <v>0</v>
      </c>
      <c r="K10" s="88">
        <f t="shared" si="0"/>
        <v>1242.3776800000001</v>
      </c>
      <c r="L10" s="88">
        <f t="shared" si="0"/>
        <v>8828</v>
      </c>
      <c r="M10" s="88">
        <f t="shared" si="0"/>
        <v>61091</v>
      </c>
      <c r="N10" s="88">
        <f t="shared" si="0"/>
        <v>0</v>
      </c>
      <c r="O10" s="88">
        <f t="shared" si="0"/>
        <v>12916</v>
      </c>
      <c r="P10" s="88">
        <f t="shared" si="0"/>
        <v>9503.0716176000005</v>
      </c>
      <c r="Q10" s="88">
        <f t="shared" si="0"/>
        <v>89539</v>
      </c>
      <c r="R10" s="88" t="e">
        <f t="shared" si="0"/>
        <v>#REF!</v>
      </c>
    </row>
    <row r="11" spans="1:19" s="85" customFormat="1" ht="20.100000000000001" customHeight="1" x14ac:dyDescent="0.25">
      <c r="A11" s="89" t="s">
        <v>83</v>
      </c>
      <c r="B11" s="90" t="s">
        <v>1079</v>
      </c>
      <c r="C11" s="91">
        <f>SUM(C12:C14)</f>
        <v>61091</v>
      </c>
      <c r="D11" s="91">
        <f t="shared" ref="D11:R11" si="1">SUM(D12:D14)</f>
        <v>0</v>
      </c>
      <c r="E11" s="91">
        <f t="shared" si="1"/>
        <v>0</v>
      </c>
      <c r="F11" s="91">
        <f t="shared" si="1"/>
        <v>0</v>
      </c>
      <c r="G11" s="91">
        <f t="shared" si="1"/>
        <v>0</v>
      </c>
      <c r="H11" s="91">
        <f t="shared" si="1"/>
        <v>0</v>
      </c>
      <c r="I11" s="91">
        <f t="shared" si="1"/>
        <v>0</v>
      </c>
      <c r="J11" s="91">
        <f t="shared" si="1"/>
        <v>0</v>
      </c>
      <c r="K11" s="91">
        <f t="shared" si="1"/>
        <v>0</v>
      </c>
      <c r="L11" s="91">
        <f t="shared" si="1"/>
        <v>0</v>
      </c>
      <c r="M11" s="91">
        <f t="shared" si="1"/>
        <v>61091</v>
      </c>
      <c r="N11" s="91">
        <f t="shared" si="1"/>
        <v>0</v>
      </c>
      <c r="O11" s="91">
        <f t="shared" si="1"/>
        <v>12916</v>
      </c>
      <c r="P11" s="91">
        <f t="shared" si="1"/>
        <v>0</v>
      </c>
      <c r="Q11" s="91">
        <f t="shared" si="1"/>
        <v>0</v>
      </c>
      <c r="R11" s="91">
        <f t="shared" si="1"/>
        <v>0</v>
      </c>
    </row>
    <row r="12" spans="1:19" ht="20.100000000000001" customHeight="1" x14ac:dyDescent="0.25">
      <c r="A12" s="92" t="s">
        <v>981</v>
      </c>
      <c r="B12" s="93" t="s">
        <v>1038</v>
      </c>
      <c r="C12" s="94">
        <f>SUM(D12:M12)+P12+Q12+R12</f>
        <v>12916</v>
      </c>
      <c r="D12" s="94"/>
      <c r="E12" s="94"/>
      <c r="F12" s="94"/>
      <c r="G12" s="94"/>
      <c r="H12" s="94"/>
      <c r="I12" s="94"/>
      <c r="J12" s="94"/>
      <c r="K12" s="94"/>
      <c r="L12" s="94"/>
      <c r="M12" s="94">
        <f>SUM(N12:O12)</f>
        <v>12916</v>
      </c>
      <c r="N12" s="94"/>
      <c r="O12" s="94">
        <f>'PL 03'!O17</f>
        <v>12916</v>
      </c>
      <c r="P12" s="94"/>
      <c r="Q12" s="94"/>
      <c r="R12" s="94"/>
    </row>
    <row r="13" spans="1:19" ht="29.25" customHeight="1" x14ac:dyDescent="0.25">
      <c r="A13" s="92" t="s">
        <v>982</v>
      </c>
      <c r="B13" s="159" t="s">
        <v>1273</v>
      </c>
      <c r="C13" s="94">
        <f t="shared" ref="C13:C33" si="2">SUM(D13:M13)+P13+Q13+R13</f>
        <v>18255</v>
      </c>
      <c r="D13" s="94"/>
      <c r="E13" s="94"/>
      <c r="F13" s="94"/>
      <c r="G13" s="94"/>
      <c r="H13" s="94"/>
      <c r="I13" s="94"/>
      <c r="J13" s="94"/>
      <c r="K13" s="94"/>
      <c r="L13" s="94"/>
      <c r="M13" s="94">
        <f>'PL 03'!O18</f>
        <v>18255</v>
      </c>
      <c r="N13" s="94"/>
      <c r="O13" s="94"/>
      <c r="P13" s="94"/>
      <c r="Q13" s="94"/>
      <c r="R13" s="94"/>
    </row>
    <row r="14" spans="1:19" ht="20.100000000000001" customHeight="1" x14ac:dyDescent="0.25">
      <c r="A14" s="92" t="s">
        <v>983</v>
      </c>
      <c r="B14" s="93" t="s">
        <v>1284</v>
      </c>
      <c r="C14" s="94">
        <f t="shared" si="2"/>
        <v>29920</v>
      </c>
      <c r="D14" s="94"/>
      <c r="E14" s="94"/>
      <c r="F14" s="94"/>
      <c r="G14" s="94"/>
      <c r="H14" s="94"/>
      <c r="I14" s="94"/>
      <c r="J14" s="94"/>
      <c r="K14" s="94"/>
      <c r="L14" s="94"/>
      <c r="M14" s="94">
        <f>'PL 03'!O19</f>
        <v>29920</v>
      </c>
      <c r="N14" s="94"/>
      <c r="O14" s="94"/>
      <c r="P14" s="94"/>
      <c r="Q14" s="94"/>
      <c r="R14" s="94"/>
    </row>
    <row r="15" spans="1:19" s="85" customFormat="1" ht="20.100000000000001" customHeight="1" x14ac:dyDescent="0.25">
      <c r="A15" s="89" t="s">
        <v>70</v>
      </c>
      <c r="B15" s="90" t="s">
        <v>1153</v>
      </c>
      <c r="C15" s="91" t="e">
        <f>SUM(C16:C19)</f>
        <v>#REF!</v>
      </c>
      <c r="D15" s="91" t="e">
        <f t="shared" ref="D15:R15" si="3">SUM(D16:D19)</f>
        <v>#REF!</v>
      </c>
      <c r="E15" s="91">
        <f t="shared" si="3"/>
        <v>0</v>
      </c>
      <c r="F15" s="91">
        <f t="shared" si="3"/>
        <v>0</v>
      </c>
      <c r="G15" s="91">
        <f t="shared" si="3"/>
        <v>0</v>
      </c>
      <c r="H15" s="91">
        <f t="shared" si="3"/>
        <v>490.45600000000002</v>
      </c>
      <c r="I15" s="91">
        <f t="shared" si="3"/>
        <v>1525.63608</v>
      </c>
      <c r="J15" s="91">
        <f t="shared" si="3"/>
        <v>0</v>
      </c>
      <c r="K15" s="91">
        <f t="shared" si="3"/>
        <v>1242.3776800000001</v>
      </c>
      <c r="L15" s="91">
        <f t="shared" si="3"/>
        <v>0</v>
      </c>
      <c r="M15" s="91">
        <f t="shared" si="3"/>
        <v>0</v>
      </c>
      <c r="N15" s="91">
        <f t="shared" si="3"/>
        <v>0</v>
      </c>
      <c r="O15" s="91">
        <f t="shared" si="3"/>
        <v>0</v>
      </c>
      <c r="P15" s="91">
        <f t="shared" si="3"/>
        <v>0</v>
      </c>
      <c r="Q15" s="91">
        <f t="shared" si="3"/>
        <v>0</v>
      </c>
      <c r="R15" s="91">
        <f t="shared" si="3"/>
        <v>0</v>
      </c>
    </row>
    <row r="16" spans="1:19" ht="20.100000000000001" customHeight="1" x14ac:dyDescent="0.25">
      <c r="A16" s="92" t="s">
        <v>981</v>
      </c>
      <c r="B16" s="74" t="s">
        <v>1040</v>
      </c>
      <c r="C16" s="94">
        <f t="shared" si="2"/>
        <v>2768.0137599999998</v>
      </c>
      <c r="D16" s="94"/>
      <c r="E16" s="94"/>
      <c r="F16" s="94"/>
      <c r="G16" s="94"/>
      <c r="H16" s="94"/>
      <c r="I16" s="94">
        <f>'PL 03'!F22+'PL 03'!F23</f>
        <v>1525.63608</v>
      </c>
      <c r="J16" s="94"/>
      <c r="K16" s="94">
        <f>'PL 03'!F24</f>
        <v>1242.3776800000001</v>
      </c>
      <c r="L16" s="94"/>
      <c r="M16" s="94"/>
      <c r="N16" s="94"/>
      <c r="O16" s="94"/>
      <c r="P16" s="94"/>
      <c r="Q16" s="94"/>
      <c r="R16" s="94"/>
    </row>
    <row r="17" spans="1:18" ht="20.100000000000001" customHeight="1" x14ac:dyDescent="0.25">
      <c r="A17" s="92" t="s">
        <v>982</v>
      </c>
      <c r="B17" s="74" t="s">
        <v>1044</v>
      </c>
      <c r="C17" s="94">
        <f t="shared" si="2"/>
        <v>490.45600000000002</v>
      </c>
      <c r="D17" s="94"/>
      <c r="E17" s="94"/>
      <c r="F17" s="94"/>
      <c r="G17" s="94"/>
      <c r="H17" s="94">
        <f>'PL 03'!F25</f>
        <v>490.45600000000002</v>
      </c>
      <c r="I17" s="94"/>
      <c r="J17" s="94"/>
      <c r="K17" s="94"/>
      <c r="L17" s="94"/>
      <c r="M17" s="94"/>
      <c r="N17" s="94"/>
      <c r="O17" s="94"/>
      <c r="P17" s="94"/>
      <c r="Q17" s="94"/>
      <c r="R17" s="94"/>
    </row>
    <row r="18" spans="1:18" ht="20.100000000000001" customHeight="1" x14ac:dyDescent="0.25">
      <c r="A18" s="92" t="s">
        <v>983</v>
      </c>
      <c r="B18" s="75" t="s">
        <v>580</v>
      </c>
      <c r="C18" s="94" t="e">
        <f t="shared" si="2"/>
        <v>#REF!</v>
      </c>
      <c r="D18" s="94" t="e">
        <f>'PL 03'!#REF!</f>
        <v>#REF!</v>
      </c>
      <c r="E18" s="94"/>
      <c r="F18" s="94"/>
      <c r="G18" s="94"/>
      <c r="H18" s="94"/>
      <c r="I18" s="94"/>
      <c r="J18" s="94"/>
      <c r="K18" s="94"/>
      <c r="L18" s="94"/>
      <c r="M18" s="94"/>
      <c r="N18" s="94"/>
      <c r="O18" s="94"/>
      <c r="P18" s="94"/>
      <c r="Q18" s="94"/>
      <c r="R18" s="94"/>
    </row>
    <row r="19" spans="1:18" ht="20.100000000000001" customHeight="1" x14ac:dyDescent="0.25">
      <c r="A19" s="92" t="s">
        <v>984</v>
      </c>
      <c r="B19" s="93" t="s">
        <v>1154</v>
      </c>
      <c r="C19" s="94">
        <f t="shared" si="2"/>
        <v>7429.9605335999995</v>
      </c>
      <c r="D19" s="94">
        <f>'PL 03'!F29</f>
        <v>7429.9605335999995</v>
      </c>
      <c r="E19" s="94"/>
      <c r="F19" s="94"/>
      <c r="G19" s="94"/>
      <c r="H19" s="94"/>
      <c r="I19" s="94"/>
      <c r="J19" s="94"/>
      <c r="K19" s="94"/>
      <c r="L19" s="94"/>
      <c r="M19" s="94"/>
      <c r="N19" s="94"/>
      <c r="O19" s="94"/>
      <c r="P19" s="94"/>
      <c r="Q19" s="94"/>
      <c r="R19" s="94"/>
    </row>
    <row r="20" spans="1:18" s="85" customFormat="1" ht="20.100000000000001" customHeight="1" x14ac:dyDescent="0.25">
      <c r="A20" s="89" t="s">
        <v>73</v>
      </c>
      <c r="B20" s="90" t="s">
        <v>1046</v>
      </c>
      <c r="C20" s="91">
        <f t="shared" si="2"/>
        <v>560</v>
      </c>
      <c r="D20" s="91"/>
      <c r="E20" s="91">
        <f>'PL 03'!F27</f>
        <v>560</v>
      </c>
      <c r="F20" s="91"/>
      <c r="G20" s="91"/>
      <c r="H20" s="91"/>
      <c r="I20" s="91"/>
      <c r="J20" s="91"/>
      <c r="K20" s="91"/>
      <c r="L20" s="91"/>
      <c r="M20" s="91"/>
      <c r="N20" s="91"/>
      <c r="O20" s="91"/>
      <c r="P20" s="91"/>
      <c r="Q20" s="91"/>
      <c r="R20" s="91"/>
    </row>
    <row r="21" spans="1:18" s="85" customFormat="1" ht="20.100000000000001" customHeight="1" x14ac:dyDescent="0.25">
      <c r="A21" s="89" t="s">
        <v>77</v>
      </c>
      <c r="B21" s="90" t="s">
        <v>1047</v>
      </c>
      <c r="C21" s="91">
        <f t="shared" si="2"/>
        <v>8828</v>
      </c>
      <c r="D21" s="91"/>
      <c r="E21" s="91"/>
      <c r="F21" s="91"/>
      <c r="G21" s="91"/>
      <c r="H21" s="91"/>
      <c r="I21" s="91"/>
      <c r="J21" s="91"/>
      <c r="K21" s="91"/>
      <c r="L21" s="91">
        <f>'PL 03'!F28</f>
        <v>8828</v>
      </c>
      <c r="M21" s="91"/>
      <c r="N21" s="91"/>
      <c r="O21" s="91"/>
      <c r="P21" s="91"/>
      <c r="Q21" s="91"/>
      <c r="R21" s="91"/>
    </row>
    <row r="22" spans="1:18" s="85" customFormat="1" ht="20.100000000000001" customHeight="1" x14ac:dyDescent="0.25">
      <c r="A22" s="89" t="s">
        <v>113</v>
      </c>
      <c r="B22" s="90" t="s">
        <v>1156</v>
      </c>
      <c r="C22" s="91">
        <f>SUM(C23:C26)</f>
        <v>9503.0716176000005</v>
      </c>
      <c r="D22" s="91">
        <f t="shared" ref="D22:R22" si="4">SUM(D23:D26)</f>
        <v>0</v>
      </c>
      <c r="E22" s="91">
        <f t="shared" si="4"/>
        <v>0</v>
      </c>
      <c r="F22" s="91">
        <f t="shared" si="4"/>
        <v>0</v>
      </c>
      <c r="G22" s="91">
        <f t="shared" si="4"/>
        <v>0</v>
      </c>
      <c r="H22" s="91">
        <f t="shared" si="4"/>
        <v>0</v>
      </c>
      <c r="I22" s="91">
        <f t="shared" si="4"/>
        <v>0</v>
      </c>
      <c r="J22" s="91">
        <f t="shared" si="4"/>
        <v>0</v>
      </c>
      <c r="K22" s="91">
        <f t="shared" si="4"/>
        <v>0</v>
      </c>
      <c r="L22" s="91">
        <f t="shared" si="4"/>
        <v>0</v>
      </c>
      <c r="M22" s="91">
        <f t="shared" si="4"/>
        <v>0</v>
      </c>
      <c r="N22" s="91">
        <f t="shared" si="4"/>
        <v>0</v>
      </c>
      <c r="O22" s="91">
        <f t="shared" si="4"/>
        <v>0</v>
      </c>
      <c r="P22" s="91">
        <f t="shared" si="4"/>
        <v>9503.0716176000005</v>
      </c>
      <c r="Q22" s="91">
        <f t="shared" si="4"/>
        <v>0</v>
      </c>
      <c r="R22" s="91">
        <f t="shared" si="4"/>
        <v>0</v>
      </c>
    </row>
    <row r="23" spans="1:18" ht="20.100000000000001" customHeight="1" x14ac:dyDescent="0.25">
      <c r="A23" s="92" t="s">
        <v>981</v>
      </c>
      <c r="B23" s="93" t="s">
        <v>1157</v>
      </c>
      <c r="C23" s="94">
        <f t="shared" si="2"/>
        <v>7394.6055999999999</v>
      </c>
      <c r="D23" s="94"/>
      <c r="E23" s="94"/>
      <c r="F23" s="94"/>
      <c r="G23" s="94"/>
      <c r="H23" s="94"/>
      <c r="I23" s="94"/>
      <c r="J23" s="94"/>
      <c r="K23" s="94"/>
      <c r="L23" s="94"/>
      <c r="M23" s="94"/>
      <c r="N23" s="94"/>
      <c r="O23" s="94"/>
      <c r="P23" s="94">
        <f>'PL 03'!F35</f>
        <v>7394.6055999999999</v>
      </c>
      <c r="Q23" s="94"/>
      <c r="R23" s="94"/>
    </row>
    <row r="24" spans="1:18" ht="20.100000000000001" customHeight="1" x14ac:dyDescent="0.25">
      <c r="A24" s="92" t="s">
        <v>982</v>
      </c>
      <c r="B24" s="93" t="s">
        <v>1158</v>
      </c>
      <c r="C24" s="94">
        <f t="shared" si="2"/>
        <v>500</v>
      </c>
      <c r="D24" s="94"/>
      <c r="E24" s="94"/>
      <c r="F24" s="94"/>
      <c r="G24" s="94"/>
      <c r="H24" s="94"/>
      <c r="I24" s="94"/>
      <c r="J24" s="94"/>
      <c r="K24" s="94"/>
      <c r="L24" s="94"/>
      <c r="M24" s="94"/>
      <c r="N24" s="94"/>
      <c r="O24" s="94"/>
      <c r="P24" s="94">
        <f>'PL 03'!F66</f>
        <v>500</v>
      </c>
      <c r="Q24" s="94"/>
      <c r="R24" s="94"/>
    </row>
    <row r="25" spans="1:18" ht="20.100000000000001" customHeight="1" x14ac:dyDescent="0.25">
      <c r="A25" s="92" t="s">
        <v>983</v>
      </c>
      <c r="B25" s="93" t="s">
        <v>1159</v>
      </c>
      <c r="C25" s="94">
        <f t="shared" si="2"/>
        <v>904.20740000000023</v>
      </c>
      <c r="D25" s="94"/>
      <c r="E25" s="94"/>
      <c r="F25" s="94"/>
      <c r="G25" s="94"/>
      <c r="H25" s="94"/>
      <c r="I25" s="94"/>
      <c r="J25" s="94"/>
      <c r="K25" s="94"/>
      <c r="L25" s="94"/>
      <c r="M25" s="94"/>
      <c r="N25" s="94"/>
      <c r="O25" s="94"/>
      <c r="P25" s="94">
        <f>'PL 03'!F52</f>
        <v>904.20740000000023</v>
      </c>
      <c r="Q25" s="94"/>
      <c r="R25" s="94"/>
    </row>
    <row r="26" spans="1:18" ht="20.100000000000001" customHeight="1" x14ac:dyDescent="0.25">
      <c r="A26" s="92" t="s">
        <v>984</v>
      </c>
      <c r="B26" s="93" t="s">
        <v>1160</v>
      </c>
      <c r="C26" s="94">
        <f t="shared" si="2"/>
        <v>704.25861759999998</v>
      </c>
      <c r="D26" s="94"/>
      <c r="E26" s="94"/>
      <c r="F26" s="94"/>
      <c r="G26" s="94"/>
      <c r="H26" s="94"/>
      <c r="I26" s="94"/>
      <c r="J26" s="94"/>
      <c r="K26" s="94"/>
      <c r="L26" s="94"/>
      <c r="M26" s="94"/>
      <c r="N26" s="94"/>
      <c r="O26" s="94"/>
      <c r="P26" s="94">
        <f>'PL 03'!F58</f>
        <v>704.25861759999998</v>
      </c>
      <c r="Q26" s="94"/>
      <c r="R26" s="94"/>
    </row>
    <row r="27" spans="1:18" s="85" customFormat="1" ht="20.100000000000001" customHeight="1" x14ac:dyDescent="0.25">
      <c r="A27" s="89" t="s">
        <v>400</v>
      </c>
      <c r="B27" s="90" t="s">
        <v>1161</v>
      </c>
      <c r="C27" s="91">
        <f>SUM(C28:C29)</f>
        <v>2537</v>
      </c>
      <c r="D27" s="91">
        <f t="shared" ref="D27:R27" si="5">SUM(D28:D29)</f>
        <v>0</v>
      </c>
      <c r="E27" s="91">
        <f t="shared" si="5"/>
        <v>0</v>
      </c>
      <c r="F27" s="91">
        <f t="shared" si="5"/>
        <v>2000</v>
      </c>
      <c r="G27" s="91">
        <f t="shared" si="5"/>
        <v>537</v>
      </c>
      <c r="H27" s="91">
        <f t="shared" si="5"/>
        <v>0</v>
      </c>
      <c r="I27" s="91">
        <f t="shared" si="5"/>
        <v>0</v>
      </c>
      <c r="J27" s="91">
        <f t="shared" si="5"/>
        <v>0</v>
      </c>
      <c r="K27" s="91">
        <f t="shared" si="5"/>
        <v>0</v>
      </c>
      <c r="L27" s="91">
        <f t="shared" si="5"/>
        <v>0</v>
      </c>
      <c r="M27" s="91">
        <f t="shared" si="5"/>
        <v>0</v>
      </c>
      <c r="N27" s="91">
        <f t="shared" si="5"/>
        <v>0</v>
      </c>
      <c r="O27" s="91">
        <f t="shared" si="5"/>
        <v>0</v>
      </c>
      <c r="P27" s="91">
        <f t="shared" si="5"/>
        <v>0</v>
      </c>
      <c r="Q27" s="91">
        <f t="shared" si="5"/>
        <v>0</v>
      </c>
      <c r="R27" s="91">
        <f t="shared" si="5"/>
        <v>0</v>
      </c>
    </row>
    <row r="28" spans="1:18" ht="20.100000000000001" customHeight="1" x14ac:dyDescent="0.25">
      <c r="A28" s="92" t="s">
        <v>981</v>
      </c>
      <c r="B28" s="93" t="s">
        <v>1162</v>
      </c>
      <c r="C28" s="94">
        <f t="shared" si="2"/>
        <v>2000</v>
      </c>
      <c r="D28" s="94"/>
      <c r="E28" s="94"/>
      <c r="F28" s="94">
        <f>'PL 03'!F76</f>
        <v>2000</v>
      </c>
      <c r="G28" s="94"/>
      <c r="H28" s="94"/>
      <c r="I28" s="94"/>
      <c r="J28" s="94"/>
      <c r="K28" s="94"/>
      <c r="L28" s="94"/>
      <c r="M28" s="94"/>
      <c r="N28" s="94"/>
      <c r="O28" s="94"/>
      <c r="P28" s="94"/>
      <c r="Q28" s="94"/>
      <c r="R28" s="94"/>
    </row>
    <row r="29" spans="1:18" ht="20.100000000000001" customHeight="1" x14ac:dyDescent="0.25">
      <c r="A29" s="92" t="s">
        <v>982</v>
      </c>
      <c r="B29" s="93" t="s">
        <v>1163</v>
      </c>
      <c r="C29" s="94">
        <f t="shared" si="2"/>
        <v>537</v>
      </c>
      <c r="D29" s="94"/>
      <c r="E29" s="94"/>
      <c r="F29" s="94"/>
      <c r="G29" s="94">
        <f>'PL 03'!F77</f>
        <v>537</v>
      </c>
      <c r="H29" s="94"/>
      <c r="I29" s="94"/>
      <c r="J29" s="94"/>
      <c r="K29" s="94"/>
      <c r="L29" s="94"/>
      <c r="M29" s="94"/>
      <c r="N29" s="94"/>
      <c r="O29" s="94"/>
      <c r="P29" s="94"/>
      <c r="Q29" s="94"/>
      <c r="R29" s="94"/>
    </row>
    <row r="30" spans="1:18" s="85" customFormat="1" ht="20.100000000000001" customHeight="1" x14ac:dyDescent="0.25">
      <c r="A30" s="89" t="s">
        <v>620</v>
      </c>
      <c r="B30" s="90" t="s">
        <v>1164</v>
      </c>
      <c r="C30" s="91" t="e">
        <f t="shared" si="2"/>
        <v>#REF!</v>
      </c>
      <c r="D30" s="91"/>
      <c r="E30" s="91"/>
      <c r="F30" s="91"/>
      <c r="G30" s="91"/>
      <c r="H30" s="91"/>
      <c r="I30" s="91"/>
      <c r="J30" s="91"/>
      <c r="K30" s="91"/>
      <c r="L30" s="91"/>
      <c r="M30" s="91"/>
      <c r="N30" s="91"/>
      <c r="O30" s="91"/>
      <c r="P30" s="91"/>
      <c r="Q30" s="91"/>
      <c r="R30" s="91" t="e">
        <f>'PL 03'!F82+'PL 01'!#REF!</f>
        <v>#REF!</v>
      </c>
    </row>
    <row r="31" spans="1:18" s="85" customFormat="1" ht="20.100000000000001" customHeight="1" x14ac:dyDescent="0.25">
      <c r="A31" s="89" t="s">
        <v>1166</v>
      </c>
      <c r="B31" s="90" t="s">
        <v>1167</v>
      </c>
      <c r="C31" s="91">
        <f t="shared" si="2"/>
        <v>0</v>
      </c>
      <c r="D31" s="91"/>
      <c r="E31" s="91"/>
      <c r="F31" s="91"/>
      <c r="G31" s="91"/>
      <c r="H31" s="91"/>
      <c r="I31" s="91"/>
      <c r="J31" s="91"/>
      <c r="K31" s="91"/>
      <c r="L31" s="91"/>
      <c r="M31" s="91"/>
      <c r="N31" s="91"/>
      <c r="O31" s="91"/>
      <c r="P31" s="91"/>
      <c r="Q31" s="91"/>
      <c r="R31" s="91">
        <f>'PL 03'!F84</f>
        <v>0</v>
      </c>
    </row>
    <row r="32" spans="1:18" s="85" customFormat="1" ht="20.100000000000001" customHeight="1" x14ac:dyDescent="0.25">
      <c r="A32" s="89" t="s">
        <v>1168</v>
      </c>
      <c r="B32" s="90" t="s">
        <v>1148</v>
      </c>
      <c r="C32" s="91">
        <f t="shared" si="2"/>
        <v>0</v>
      </c>
      <c r="D32" s="91"/>
      <c r="E32" s="91"/>
      <c r="F32" s="91"/>
      <c r="G32" s="91"/>
      <c r="H32" s="91"/>
      <c r="I32" s="91"/>
      <c r="J32" s="91"/>
      <c r="K32" s="91"/>
      <c r="L32" s="91"/>
      <c r="M32" s="91"/>
      <c r="N32" s="91"/>
      <c r="O32" s="91"/>
      <c r="P32" s="91"/>
      <c r="Q32" s="91"/>
      <c r="R32" s="91">
        <f>'PL 03'!F83</f>
        <v>0</v>
      </c>
    </row>
    <row r="33" spans="1:18" s="85" customFormat="1" ht="20.100000000000001" customHeight="1" x14ac:dyDescent="0.25">
      <c r="A33" s="95" t="s">
        <v>1169</v>
      </c>
      <c r="B33" s="96" t="s">
        <v>1140</v>
      </c>
      <c r="C33" s="97">
        <f t="shared" si="2"/>
        <v>134703.79999999999</v>
      </c>
      <c r="D33" s="97">
        <f>'PL 01'!C55</f>
        <v>23097</v>
      </c>
      <c r="E33" s="97"/>
      <c r="F33" s="97"/>
      <c r="G33" s="97"/>
      <c r="H33" s="97"/>
      <c r="I33" s="97"/>
      <c r="J33" s="97"/>
      <c r="K33" s="97"/>
      <c r="L33" s="97"/>
      <c r="M33" s="97"/>
      <c r="N33" s="97"/>
      <c r="O33" s="97"/>
      <c r="P33" s="97"/>
      <c r="Q33" s="97">
        <f>'PL 01'!C63</f>
        <v>89539</v>
      </c>
      <c r="R33" s="97">
        <f>'PL 01'!C69</f>
        <v>22067.8</v>
      </c>
    </row>
    <row r="34" spans="1:18" ht="15.75" x14ac:dyDescent="0.25">
      <c r="A34" s="35"/>
    </row>
  </sheetData>
  <mergeCells count="21">
    <mergeCell ref="B7:B8"/>
    <mergeCell ref="C7:C8"/>
    <mergeCell ref="D7:D8"/>
    <mergeCell ref="E7:E8"/>
    <mergeCell ref="F7:F8"/>
    <mergeCell ref="A2:R2"/>
    <mergeCell ref="M7:M8"/>
    <mergeCell ref="N7:O7"/>
    <mergeCell ref="P7:P8"/>
    <mergeCell ref="Q7:Q8"/>
    <mergeCell ref="R7:R8"/>
    <mergeCell ref="G7:G8"/>
    <mergeCell ref="H7:H8"/>
    <mergeCell ref="I7:I8"/>
    <mergeCell ref="J7:J8"/>
    <mergeCell ref="K7:K8"/>
    <mergeCell ref="L7:L8"/>
    <mergeCell ref="A3:R3"/>
    <mergeCell ref="A4:R4"/>
    <mergeCell ref="A5:R5"/>
    <mergeCell ref="A7:A8"/>
  </mergeCells>
  <printOptions horizontalCentered="1"/>
  <pageMargins left="0.11811023622047245" right="0.19685039370078741" top="0.15748031496062992" bottom="0.15748031496062992" header="0.31496062992125984" footer="0.31496062992125984"/>
  <pageSetup paperSize="9" scale="65" orientation="landscape" verticalDpi="0" r:id="rId1"/>
  <headerFooter>
    <oddFooter>&amp;C&amp;P</oddFooter>
  </headerFooter>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FF00"/>
  </sheetPr>
  <dimension ref="A1:S36"/>
  <sheetViews>
    <sheetView workbookViewId="0">
      <selection activeCell="A2" sqref="A2:S2"/>
    </sheetView>
  </sheetViews>
  <sheetFormatPr defaultRowHeight="15" x14ac:dyDescent="0.25"/>
  <cols>
    <col min="1" max="1" width="6.5703125" customWidth="1"/>
    <col min="2" max="2" width="22.28515625" customWidth="1"/>
    <col min="3" max="4" width="9.5703125" bestFit="1" customWidth="1"/>
    <col min="6" max="8" width="9.5703125" bestFit="1" customWidth="1"/>
    <col min="15" max="15" width="11.28515625" bestFit="1" customWidth="1"/>
  </cols>
  <sheetData>
    <row r="1" spans="1:19" ht="15.75" x14ac:dyDescent="0.25">
      <c r="S1" s="25" t="s">
        <v>624</v>
      </c>
    </row>
    <row r="2" spans="1:19" ht="15.75" x14ac:dyDescent="0.25">
      <c r="A2" s="414" t="s">
        <v>1295</v>
      </c>
      <c r="B2" s="414"/>
      <c r="C2" s="414"/>
      <c r="D2" s="414"/>
      <c r="E2" s="414"/>
      <c r="F2" s="414"/>
      <c r="G2" s="414"/>
      <c r="H2" s="414"/>
      <c r="I2" s="414"/>
      <c r="J2" s="414"/>
      <c r="K2" s="414"/>
      <c r="L2" s="414"/>
      <c r="M2" s="414"/>
      <c r="N2" s="414"/>
      <c r="O2" s="414"/>
      <c r="P2" s="414"/>
      <c r="Q2" s="414"/>
      <c r="R2" s="414"/>
      <c r="S2" s="414"/>
    </row>
    <row r="3" spans="1:19" ht="16.5" customHeight="1" x14ac:dyDescent="0.25">
      <c r="A3" s="443" t="s">
        <v>1283</v>
      </c>
      <c r="B3" s="443"/>
      <c r="C3" s="443"/>
      <c r="D3" s="443"/>
      <c r="E3" s="443"/>
      <c r="F3" s="443"/>
      <c r="G3" s="443"/>
      <c r="H3" s="443"/>
      <c r="I3" s="443"/>
      <c r="J3" s="443"/>
      <c r="K3" s="443"/>
      <c r="L3" s="443"/>
      <c r="M3" s="443"/>
      <c r="N3" s="443"/>
      <c r="O3" s="443"/>
      <c r="P3" s="443"/>
      <c r="Q3" s="443"/>
      <c r="R3" s="443"/>
      <c r="S3" s="443"/>
    </row>
    <row r="4" spans="1:19" ht="15.75" x14ac:dyDescent="0.25">
      <c r="S4" s="26" t="s">
        <v>56</v>
      </c>
    </row>
    <row r="5" spans="1:19" ht="15.75" x14ac:dyDescent="0.25">
      <c r="A5" s="449" t="s">
        <v>3</v>
      </c>
      <c r="B5" s="449" t="s">
        <v>468</v>
      </c>
      <c r="C5" s="449" t="s">
        <v>130</v>
      </c>
      <c r="D5" s="449" t="s">
        <v>162</v>
      </c>
      <c r="E5" s="449"/>
      <c r="F5" s="449" t="s">
        <v>1239</v>
      </c>
      <c r="G5" s="449"/>
      <c r="H5" s="449"/>
      <c r="I5" s="449"/>
      <c r="J5" s="449"/>
      <c r="K5" s="449"/>
      <c r="L5" s="449"/>
      <c r="M5" s="449" t="s">
        <v>1240</v>
      </c>
      <c r="N5" s="449"/>
      <c r="O5" s="449"/>
      <c r="P5" s="449"/>
      <c r="Q5" s="449"/>
      <c r="R5" s="449"/>
      <c r="S5" s="449"/>
    </row>
    <row r="6" spans="1:19" ht="24" customHeight="1" x14ac:dyDescent="0.25">
      <c r="A6" s="449"/>
      <c r="B6" s="449"/>
      <c r="C6" s="449"/>
      <c r="D6" s="449" t="s">
        <v>641</v>
      </c>
      <c r="E6" s="449" t="s">
        <v>642</v>
      </c>
      <c r="F6" s="449" t="s">
        <v>130</v>
      </c>
      <c r="G6" s="449" t="s">
        <v>641</v>
      </c>
      <c r="H6" s="449"/>
      <c r="I6" s="449"/>
      <c r="J6" s="449" t="s">
        <v>642</v>
      </c>
      <c r="K6" s="449"/>
      <c r="L6" s="449"/>
      <c r="M6" s="449" t="s">
        <v>130</v>
      </c>
      <c r="N6" s="449" t="s">
        <v>641</v>
      </c>
      <c r="O6" s="449"/>
      <c r="P6" s="449"/>
      <c r="Q6" s="449" t="s">
        <v>642</v>
      </c>
      <c r="R6" s="449"/>
      <c r="S6" s="449"/>
    </row>
    <row r="7" spans="1:19" ht="61.5" customHeight="1" x14ac:dyDescent="0.25">
      <c r="A7" s="449"/>
      <c r="B7" s="449"/>
      <c r="C7" s="449"/>
      <c r="D7" s="449"/>
      <c r="E7" s="449"/>
      <c r="F7" s="449"/>
      <c r="G7" s="29" t="s">
        <v>130</v>
      </c>
      <c r="H7" s="29" t="s">
        <v>135</v>
      </c>
      <c r="I7" s="29" t="s">
        <v>643</v>
      </c>
      <c r="J7" s="29" t="s">
        <v>130</v>
      </c>
      <c r="K7" s="29" t="s">
        <v>135</v>
      </c>
      <c r="L7" s="29" t="s">
        <v>643</v>
      </c>
      <c r="M7" s="449"/>
      <c r="N7" s="29" t="s">
        <v>130</v>
      </c>
      <c r="O7" s="29" t="s">
        <v>135</v>
      </c>
      <c r="P7" s="29" t="s">
        <v>643</v>
      </c>
      <c r="Q7" s="29" t="s">
        <v>130</v>
      </c>
      <c r="R7" s="29" t="s">
        <v>135</v>
      </c>
      <c r="S7" s="29" t="s">
        <v>643</v>
      </c>
    </row>
    <row r="8" spans="1:19" ht="31.5" x14ac:dyDescent="0.25">
      <c r="A8" s="29" t="s">
        <v>15</v>
      </c>
      <c r="B8" s="29" t="s">
        <v>16</v>
      </c>
      <c r="C8" s="29" t="s">
        <v>489</v>
      </c>
      <c r="D8" s="29" t="s">
        <v>644</v>
      </c>
      <c r="E8" s="29" t="s">
        <v>645</v>
      </c>
      <c r="F8" s="29" t="s">
        <v>646</v>
      </c>
      <c r="G8" s="29" t="s">
        <v>647</v>
      </c>
      <c r="H8" s="29">
        <v>6</v>
      </c>
      <c r="I8" s="29">
        <v>7</v>
      </c>
      <c r="J8" s="29" t="s">
        <v>648</v>
      </c>
      <c r="K8" s="29">
        <v>9</v>
      </c>
      <c r="L8" s="29">
        <v>10</v>
      </c>
      <c r="M8" s="29" t="s">
        <v>649</v>
      </c>
      <c r="N8" s="29" t="s">
        <v>650</v>
      </c>
      <c r="O8" s="29">
        <v>13</v>
      </c>
      <c r="P8" s="29">
        <v>14</v>
      </c>
      <c r="Q8" s="29" t="s">
        <v>651</v>
      </c>
      <c r="R8" s="29">
        <v>16</v>
      </c>
      <c r="S8" s="29">
        <v>17</v>
      </c>
    </row>
    <row r="9" spans="1:19" ht="49.5" customHeight="1" x14ac:dyDescent="0.25">
      <c r="A9" s="29"/>
      <c r="B9" s="30" t="s">
        <v>133</v>
      </c>
      <c r="C9" s="66">
        <f>C10</f>
        <v>0</v>
      </c>
      <c r="D9" s="66">
        <f t="shared" ref="D9:R9" si="0">D10</f>
        <v>0</v>
      </c>
      <c r="E9" s="66">
        <f t="shared" si="0"/>
        <v>0</v>
      </c>
      <c r="F9" s="66">
        <f t="shared" si="0"/>
        <v>0</v>
      </c>
      <c r="G9" s="66">
        <f t="shared" si="0"/>
        <v>0</v>
      </c>
      <c r="H9" s="66">
        <f t="shared" si="0"/>
        <v>0</v>
      </c>
      <c r="I9" s="66">
        <f t="shared" si="0"/>
        <v>0</v>
      </c>
      <c r="J9" s="66">
        <f t="shared" si="0"/>
        <v>0</v>
      </c>
      <c r="K9" s="66">
        <f t="shared" si="0"/>
        <v>0</v>
      </c>
      <c r="L9" s="66">
        <f t="shared" si="0"/>
        <v>0</v>
      </c>
      <c r="M9" s="66">
        <f t="shared" si="0"/>
        <v>0</v>
      </c>
      <c r="N9" s="66">
        <f t="shared" si="0"/>
        <v>0</v>
      </c>
      <c r="O9" s="66">
        <f t="shared" si="0"/>
        <v>0</v>
      </c>
      <c r="P9" s="66">
        <f t="shared" si="0"/>
        <v>0</v>
      </c>
      <c r="Q9" s="66">
        <f t="shared" si="0"/>
        <v>0</v>
      </c>
      <c r="R9" s="66">
        <f t="shared" si="0"/>
        <v>0</v>
      </c>
      <c r="S9" s="65"/>
    </row>
    <row r="10" spans="1:19" ht="49.5" customHeight="1" x14ac:dyDescent="0.25">
      <c r="A10" s="84" t="s">
        <v>981</v>
      </c>
      <c r="B10" s="31" t="s">
        <v>980</v>
      </c>
      <c r="C10" s="65">
        <f>D10+E10</f>
        <v>0</v>
      </c>
      <c r="D10" s="65">
        <f>F10+M10</f>
        <v>0</v>
      </c>
      <c r="E10" s="65"/>
      <c r="F10" s="65">
        <f>G10+J10</f>
        <v>0</v>
      </c>
      <c r="G10" s="65">
        <f>SUM(H10:I10)</f>
        <v>0</v>
      </c>
      <c r="H10" s="65"/>
      <c r="I10" s="65"/>
      <c r="J10" s="65"/>
      <c r="K10" s="65"/>
      <c r="L10" s="65"/>
      <c r="M10" s="65">
        <f>N10</f>
        <v>0</v>
      </c>
      <c r="N10" s="65">
        <f>O10+P10</f>
        <v>0</v>
      </c>
      <c r="O10" s="65"/>
      <c r="P10" s="65"/>
      <c r="Q10" s="65">
        <f>SUM(R10:S10)</f>
        <v>0</v>
      </c>
      <c r="R10" s="65"/>
      <c r="S10" s="65"/>
    </row>
    <row r="11" spans="1:19" ht="15.75" x14ac:dyDescent="0.25">
      <c r="A11" s="28"/>
      <c r="B11" s="31"/>
      <c r="C11" s="28"/>
      <c r="D11" s="28"/>
      <c r="E11" s="28"/>
      <c r="F11" s="28"/>
      <c r="G11" s="28"/>
      <c r="H11" s="28"/>
      <c r="I11" s="28"/>
      <c r="J11" s="28"/>
      <c r="K11" s="28"/>
      <c r="L11" s="28"/>
      <c r="M11" s="28"/>
      <c r="N11" s="28"/>
      <c r="O11" s="28"/>
      <c r="P11" s="28"/>
      <c r="Q11" s="28"/>
      <c r="R11" s="28"/>
      <c r="S11" s="28"/>
    </row>
    <row r="12" spans="1:19" ht="42.75" customHeight="1" x14ac:dyDescent="0.25">
      <c r="A12" s="446" t="s">
        <v>654</v>
      </c>
      <c r="B12" s="446"/>
      <c r="C12" s="446"/>
      <c r="D12" s="446"/>
      <c r="E12" s="446"/>
      <c r="F12" s="446"/>
      <c r="G12" s="446"/>
      <c r="H12" s="446"/>
      <c r="I12" s="446"/>
      <c r="J12" s="446"/>
      <c r="K12" s="446"/>
      <c r="L12" s="446"/>
      <c r="M12" s="446"/>
      <c r="N12" s="446"/>
      <c r="O12" s="446"/>
      <c r="P12" s="446"/>
      <c r="Q12" s="446"/>
      <c r="R12" s="446"/>
      <c r="S12" s="446"/>
    </row>
    <row r="13" spans="1:19" x14ac:dyDescent="0.25">
      <c r="A13" s="40"/>
    </row>
    <row r="14" spans="1:19" x14ac:dyDescent="0.25">
      <c r="A14" s="40"/>
    </row>
    <row r="15" spans="1:19" x14ac:dyDescent="0.25">
      <c r="A15" s="40"/>
    </row>
    <row r="16" spans="1:19" x14ac:dyDescent="0.25">
      <c r="A16" s="40"/>
    </row>
    <row r="17" spans="1:1" x14ac:dyDescent="0.25">
      <c r="A17" s="40"/>
    </row>
    <row r="18" spans="1:1" x14ac:dyDescent="0.25">
      <c r="A18" s="40"/>
    </row>
    <row r="19" spans="1:1" x14ac:dyDescent="0.25">
      <c r="A19" s="40"/>
    </row>
    <row r="20" spans="1:1" x14ac:dyDescent="0.25">
      <c r="A20" s="40"/>
    </row>
    <row r="21" spans="1:1" x14ac:dyDescent="0.25">
      <c r="A21" s="40"/>
    </row>
    <row r="22" spans="1:1" x14ac:dyDescent="0.25">
      <c r="A22" s="40"/>
    </row>
    <row r="23" spans="1:1" x14ac:dyDescent="0.25">
      <c r="A23" s="40"/>
    </row>
    <row r="24" spans="1:1" x14ac:dyDescent="0.25">
      <c r="A24" s="40"/>
    </row>
    <row r="25" spans="1:1" x14ac:dyDescent="0.25">
      <c r="A25" s="40"/>
    </row>
    <row r="26" spans="1:1" x14ac:dyDescent="0.25">
      <c r="A26" s="40"/>
    </row>
    <row r="27" spans="1:1" x14ac:dyDescent="0.25">
      <c r="A27" s="40"/>
    </row>
    <row r="28" spans="1:1" x14ac:dyDescent="0.25">
      <c r="A28" s="40"/>
    </row>
    <row r="29" spans="1:1" x14ac:dyDescent="0.25">
      <c r="A29" s="40"/>
    </row>
    <row r="30" spans="1:1" x14ac:dyDescent="0.25">
      <c r="A30" s="40"/>
    </row>
    <row r="31" spans="1:1" x14ac:dyDescent="0.25">
      <c r="A31" s="40"/>
    </row>
    <row r="32" spans="1:1" x14ac:dyDescent="0.25">
      <c r="A32" s="40"/>
    </row>
    <row r="33" spans="1:1" x14ac:dyDescent="0.25">
      <c r="A33" s="40"/>
    </row>
    <row r="34" spans="1:1" x14ac:dyDescent="0.25">
      <c r="A34" s="40"/>
    </row>
    <row r="35" spans="1:1" x14ac:dyDescent="0.25">
      <c r="A35" s="40"/>
    </row>
    <row r="36" spans="1:1" x14ac:dyDescent="0.25">
      <c r="A36" s="40"/>
    </row>
  </sheetData>
  <mergeCells count="17">
    <mergeCell ref="A2:S2"/>
    <mergeCell ref="A5:A7"/>
    <mergeCell ref="B5:B7"/>
    <mergeCell ref="C5:C7"/>
    <mergeCell ref="D5:E5"/>
    <mergeCell ref="F5:L5"/>
    <mergeCell ref="M5:S5"/>
    <mergeCell ref="D6:D7"/>
    <mergeCell ref="E6:E7"/>
    <mergeCell ref="F6:F7"/>
    <mergeCell ref="G6:I6"/>
    <mergeCell ref="A3:S3"/>
    <mergeCell ref="A12:S12"/>
    <mergeCell ref="J6:L6"/>
    <mergeCell ref="M6:M7"/>
    <mergeCell ref="N6:P6"/>
    <mergeCell ref="Q6:S6"/>
  </mergeCells>
  <printOptions horizontalCentered="1"/>
  <pageMargins left="0.11811023622047245" right="0.11811023622047245" top="0.15748031496062992" bottom="0.15748031496062992" header="0.31496062992125984" footer="0.31496062992125984"/>
  <pageSetup paperSize="9" scale="75" orientation="landscape" verticalDpi="0"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04"/>
  <sheetViews>
    <sheetView zoomScale="110" zoomScaleNormal="110" workbookViewId="0">
      <selection activeCell="H22" sqref="H22"/>
    </sheetView>
  </sheetViews>
  <sheetFormatPr defaultRowHeight="15.75" x14ac:dyDescent="0.25"/>
  <cols>
    <col min="1" max="1" width="4.85546875" style="233" customWidth="1"/>
    <col min="2" max="2" width="32.42578125" style="233" customWidth="1"/>
    <col min="3" max="3" width="8.85546875" style="234" customWidth="1"/>
    <col min="4" max="4" width="8.5703125" style="233" customWidth="1"/>
    <col min="5" max="6" width="9.5703125" style="233" customWidth="1"/>
    <col min="7" max="7" width="17.42578125" style="235" customWidth="1"/>
    <col min="8" max="8" width="17.85546875" style="236" customWidth="1"/>
    <col min="9" max="9" width="14.42578125" style="237" customWidth="1"/>
    <col min="10" max="10" width="13.42578125" style="237" customWidth="1"/>
    <col min="11" max="11" width="14.5703125" style="237" customWidth="1"/>
    <col min="12" max="13" width="9.5703125" style="237" customWidth="1"/>
    <col min="14" max="14" width="8.5703125" style="237" customWidth="1"/>
    <col min="15" max="15" width="11" style="237" customWidth="1"/>
    <col min="16" max="16" width="9.42578125" style="237" customWidth="1"/>
    <col min="17" max="17" width="12.42578125" style="236" customWidth="1"/>
    <col min="18" max="18" width="8.85546875" style="232" customWidth="1"/>
    <col min="19" max="19" width="16" style="233" customWidth="1"/>
    <col min="20" max="20" width="13.85546875" style="233" bestFit="1" customWidth="1"/>
    <col min="21" max="211" width="8.7109375" style="233"/>
    <col min="212" max="212" width="4.140625" style="233" bestFit="1" customWidth="1"/>
    <col min="213" max="213" width="16.5703125" style="233" customWidth="1"/>
    <col min="214" max="214" width="6.5703125" style="233" customWidth="1"/>
    <col min="215" max="215" width="8.7109375" style="233"/>
    <col min="216" max="216" width="12.42578125" style="233" customWidth="1"/>
    <col min="217" max="217" width="8.140625" style="233" customWidth="1"/>
    <col min="218" max="218" width="8.7109375" style="233"/>
    <col min="219" max="220" width="5.85546875" style="233" customWidth="1"/>
    <col min="221" max="221" width="7.5703125" style="233" customWidth="1"/>
    <col min="222" max="222" width="6.5703125" style="233" customWidth="1"/>
    <col min="223" max="223" width="5.85546875" style="233" customWidth="1"/>
    <col min="224" max="224" width="6.5703125" style="233" customWidth="1"/>
    <col min="225" max="226" width="7.85546875" style="233" customWidth="1"/>
    <col min="227" max="227" width="8.140625" style="233" customWidth="1"/>
    <col min="228" max="229" width="6.5703125" style="233" customWidth="1"/>
    <col min="230" max="230" width="5.85546875" style="233" customWidth="1"/>
    <col min="231" max="231" width="6.5703125" style="233" customWidth="1"/>
    <col min="232" max="232" width="7" style="233" customWidth="1"/>
    <col min="233" max="233" width="5.85546875" style="233" customWidth="1"/>
    <col min="234" max="234" width="10.85546875" style="233" customWidth="1"/>
    <col min="235" max="235" width="9" style="233" customWidth="1"/>
    <col min="236" max="236" width="8.5703125" style="233" customWidth="1"/>
    <col min="237" max="237" width="8" style="233" customWidth="1"/>
    <col min="238" max="238" width="8.5703125" style="233" customWidth="1"/>
    <col min="239" max="467" width="8.7109375" style="233"/>
    <col min="468" max="468" width="4.140625" style="233" bestFit="1" customWidth="1"/>
    <col min="469" max="469" width="16.5703125" style="233" customWidth="1"/>
    <col min="470" max="470" width="6.5703125" style="233" customWidth="1"/>
    <col min="471" max="471" width="8.7109375" style="233"/>
    <col min="472" max="472" width="12.42578125" style="233" customWidth="1"/>
    <col min="473" max="473" width="8.140625" style="233" customWidth="1"/>
    <col min="474" max="474" width="8.7109375" style="233"/>
    <col min="475" max="476" width="5.85546875" style="233" customWidth="1"/>
    <col min="477" max="477" width="7.5703125" style="233" customWidth="1"/>
    <col min="478" max="478" width="6.5703125" style="233" customWidth="1"/>
    <col min="479" max="479" width="5.85546875" style="233" customWidth="1"/>
    <col min="480" max="480" width="6.5703125" style="233" customWidth="1"/>
    <col min="481" max="482" width="7.85546875" style="233" customWidth="1"/>
    <col min="483" max="483" width="8.140625" style="233" customWidth="1"/>
    <col min="484" max="485" width="6.5703125" style="233" customWidth="1"/>
    <col min="486" max="486" width="5.85546875" style="233" customWidth="1"/>
    <col min="487" max="487" width="6.5703125" style="233" customWidth="1"/>
    <col min="488" max="488" width="7" style="233" customWidth="1"/>
    <col min="489" max="489" width="5.85546875" style="233" customWidth="1"/>
    <col min="490" max="490" width="10.85546875" style="233" customWidth="1"/>
    <col min="491" max="491" width="9" style="233" customWidth="1"/>
    <col min="492" max="492" width="8.5703125" style="233" customWidth="1"/>
    <col min="493" max="493" width="8" style="233" customWidth="1"/>
    <col min="494" max="494" width="8.5703125" style="233" customWidth="1"/>
    <col min="495" max="723" width="8.7109375" style="233"/>
    <col min="724" max="724" width="4.140625" style="233" bestFit="1" customWidth="1"/>
    <col min="725" max="725" width="16.5703125" style="233" customWidth="1"/>
    <col min="726" max="726" width="6.5703125" style="233" customWidth="1"/>
    <col min="727" max="727" width="8.7109375" style="233"/>
    <col min="728" max="728" width="12.42578125" style="233" customWidth="1"/>
    <col min="729" max="729" width="8.140625" style="233" customWidth="1"/>
    <col min="730" max="730" width="8.7109375" style="233"/>
    <col min="731" max="732" width="5.85546875" style="233" customWidth="1"/>
    <col min="733" max="733" width="7.5703125" style="233" customWidth="1"/>
    <col min="734" max="734" width="6.5703125" style="233" customWidth="1"/>
    <col min="735" max="735" width="5.85546875" style="233" customWidth="1"/>
    <col min="736" max="736" width="6.5703125" style="233" customWidth="1"/>
    <col min="737" max="738" width="7.85546875" style="233" customWidth="1"/>
    <col min="739" max="739" width="8.140625" style="233" customWidth="1"/>
    <col min="740" max="741" width="6.5703125" style="233" customWidth="1"/>
    <col min="742" max="742" width="5.85546875" style="233" customWidth="1"/>
    <col min="743" max="743" width="6.5703125" style="233" customWidth="1"/>
    <col min="744" max="744" width="7" style="233" customWidth="1"/>
    <col min="745" max="745" width="5.85546875" style="233" customWidth="1"/>
    <col min="746" max="746" width="10.85546875" style="233" customWidth="1"/>
    <col min="747" max="747" width="9" style="233" customWidth="1"/>
    <col min="748" max="748" width="8.5703125" style="233" customWidth="1"/>
    <col min="749" max="749" width="8" style="233" customWidth="1"/>
    <col min="750" max="750" width="8.5703125" style="233" customWidth="1"/>
    <col min="751" max="979" width="8.7109375" style="233"/>
    <col min="980" max="980" width="4.140625" style="233" bestFit="1" customWidth="1"/>
    <col min="981" max="981" width="16.5703125" style="233" customWidth="1"/>
    <col min="982" max="982" width="6.5703125" style="233" customWidth="1"/>
    <col min="983" max="983" width="8.7109375" style="233"/>
    <col min="984" max="984" width="12.42578125" style="233" customWidth="1"/>
    <col min="985" max="985" width="8.140625" style="233" customWidth="1"/>
    <col min="986" max="986" width="8.7109375" style="233"/>
    <col min="987" max="988" width="5.85546875" style="233" customWidth="1"/>
    <col min="989" max="989" width="7.5703125" style="233" customWidth="1"/>
    <col min="990" max="990" width="6.5703125" style="233" customWidth="1"/>
    <col min="991" max="991" width="5.85546875" style="233" customWidth="1"/>
    <col min="992" max="992" width="6.5703125" style="233" customWidth="1"/>
    <col min="993" max="994" width="7.85546875" style="233" customWidth="1"/>
    <col min="995" max="995" width="8.140625" style="233" customWidth="1"/>
    <col min="996" max="997" width="6.5703125" style="233" customWidth="1"/>
    <col min="998" max="998" width="5.85546875" style="233" customWidth="1"/>
    <col min="999" max="999" width="6.5703125" style="233" customWidth="1"/>
    <col min="1000" max="1000" width="7" style="233" customWidth="1"/>
    <col min="1001" max="1001" width="5.85546875" style="233" customWidth="1"/>
    <col min="1002" max="1002" width="10.85546875" style="233" customWidth="1"/>
    <col min="1003" max="1003" width="9" style="233" customWidth="1"/>
    <col min="1004" max="1004" width="8.5703125" style="233" customWidth="1"/>
    <col min="1005" max="1005" width="8" style="233" customWidth="1"/>
    <col min="1006" max="1006" width="8.5703125" style="233" customWidth="1"/>
    <col min="1007" max="1235" width="8.7109375" style="233"/>
    <col min="1236" max="1236" width="4.140625" style="233" bestFit="1" customWidth="1"/>
    <col min="1237" max="1237" width="16.5703125" style="233" customWidth="1"/>
    <col min="1238" max="1238" width="6.5703125" style="233" customWidth="1"/>
    <col min="1239" max="1239" width="8.7109375" style="233"/>
    <col min="1240" max="1240" width="12.42578125" style="233" customWidth="1"/>
    <col min="1241" max="1241" width="8.140625" style="233" customWidth="1"/>
    <col min="1242" max="1242" width="8.7109375" style="233"/>
    <col min="1243" max="1244" width="5.85546875" style="233" customWidth="1"/>
    <col min="1245" max="1245" width="7.5703125" style="233" customWidth="1"/>
    <col min="1246" max="1246" width="6.5703125" style="233" customWidth="1"/>
    <col min="1247" max="1247" width="5.85546875" style="233" customWidth="1"/>
    <col min="1248" max="1248" width="6.5703125" style="233" customWidth="1"/>
    <col min="1249" max="1250" width="7.85546875" style="233" customWidth="1"/>
    <col min="1251" max="1251" width="8.140625" style="233" customWidth="1"/>
    <col min="1252" max="1253" width="6.5703125" style="233" customWidth="1"/>
    <col min="1254" max="1254" width="5.85546875" style="233" customWidth="1"/>
    <col min="1255" max="1255" width="6.5703125" style="233" customWidth="1"/>
    <col min="1256" max="1256" width="7" style="233" customWidth="1"/>
    <col min="1257" max="1257" width="5.85546875" style="233" customWidth="1"/>
    <col min="1258" max="1258" width="10.85546875" style="233" customWidth="1"/>
    <col min="1259" max="1259" width="9" style="233" customWidth="1"/>
    <col min="1260" max="1260" width="8.5703125" style="233" customWidth="1"/>
    <col min="1261" max="1261" width="8" style="233" customWidth="1"/>
    <col min="1262" max="1262" width="8.5703125" style="233" customWidth="1"/>
    <col min="1263" max="1491" width="8.7109375" style="233"/>
    <col min="1492" max="1492" width="4.140625" style="233" bestFit="1" customWidth="1"/>
    <col min="1493" max="1493" width="16.5703125" style="233" customWidth="1"/>
    <col min="1494" max="1494" width="6.5703125" style="233" customWidth="1"/>
    <col min="1495" max="1495" width="8.7109375" style="233"/>
    <col min="1496" max="1496" width="12.42578125" style="233" customWidth="1"/>
    <col min="1497" max="1497" width="8.140625" style="233" customWidth="1"/>
    <col min="1498" max="1498" width="8.7109375" style="233"/>
    <col min="1499" max="1500" width="5.85546875" style="233" customWidth="1"/>
    <col min="1501" max="1501" width="7.5703125" style="233" customWidth="1"/>
    <col min="1502" max="1502" width="6.5703125" style="233" customWidth="1"/>
    <col min="1503" max="1503" width="5.85546875" style="233" customWidth="1"/>
    <col min="1504" max="1504" width="6.5703125" style="233" customWidth="1"/>
    <col min="1505" max="1506" width="7.85546875" style="233" customWidth="1"/>
    <col min="1507" max="1507" width="8.140625" style="233" customWidth="1"/>
    <col min="1508" max="1509" width="6.5703125" style="233" customWidth="1"/>
    <col min="1510" max="1510" width="5.85546875" style="233" customWidth="1"/>
    <col min="1511" max="1511" width="6.5703125" style="233" customWidth="1"/>
    <col min="1512" max="1512" width="7" style="233" customWidth="1"/>
    <col min="1513" max="1513" width="5.85546875" style="233" customWidth="1"/>
    <col min="1514" max="1514" width="10.85546875" style="233" customWidth="1"/>
    <col min="1515" max="1515" width="9" style="233" customWidth="1"/>
    <col min="1516" max="1516" width="8.5703125" style="233" customWidth="1"/>
    <col min="1517" max="1517" width="8" style="233" customWidth="1"/>
    <col min="1518" max="1518" width="8.5703125" style="233" customWidth="1"/>
    <col min="1519" max="1747" width="8.7109375" style="233"/>
    <col min="1748" max="1748" width="4.140625" style="233" bestFit="1" customWidth="1"/>
    <col min="1749" max="1749" width="16.5703125" style="233" customWidth="1"/>
    <col min="1750" max="1750" width="6.5703125" style="233" customWidth="1"/>
    <col min="1751" max="1751" width="8.7109375" style="233"/>
    <col min="1752" max="1752" width="12.42578125" style="233" customWidth="1"/>
    <col min="1753" max="1753" width="8.140625" style="233" customWidth="1"/>
    <col min="1754" max="1754" width="8.7109375" style="233"/>
    <col min="1755" max="1756" width="5.85546875" style="233" customWidth="1"/>
    <col min="1757" max="1757" width="7.5703125" style="233" customWidth="1"/>
    <col min="1758" max="1758" width="6.5703125" style="233" customWidth="1"/>
    <col min="1759" max="1759" width="5.85546875" style="233" customWidth="1"/>
    <col min="1760" max="1760" width="6.5703125" style="233" customWidth="1"/>
    <col min="1761" max="1762" width="7.85546875" style="233" customWidth="1"/>
    <col min="1763" max="1763" width="8.140625" style="233" customWidth="1"/>
    <col min="1764" max="1765" width="6.5703125" style="233" customWidth="1"/>
    <col min="1766" max="1766" width="5.85546875" style="233" customWidth="1"/>
    <col min="1767" max="1767" width="6.5703125" style="233" customWidth="1"/>
    <col min="1768" max="1768" width="7" style="233" customWidth="1"/>
    <col min="1769" max="1769" width="5.85546875" style="233" customWidth="1"/>
    <col min="1770" max="1770" width="10.85546875" style="233" customWidth="1"/>
    <col min="1771" max="1771" width="9" style="233" customWidth="1"/>
    <col min="1772" max="1772" width="8.5703125" style="233" customWidth="1"/>
    <col min="1773" max="1773" width="8" style="233" customWidth="1"/>
    <col min="1774" max="1774" width="8.5703125" style="233" customWidth="1"/>
    <col min="1775" max="2003" width="8.7109375" style="233"/>
    <col min="2004" max="2004" width="4.140625" style="233" bestFit="1" customWidth="1"/>
    <col min="2005" max="2005" width="16.5703125" style="233" customWidth="1"/>
    <col min="2006" max="2006" width="6.5703125" style="233" customWidth="1"/>
    <col min="2007" max="2007" width="8.7109375" style="233"/>
    <col min="2008" max="2008" width="12.42578125" style="233" customWidth="1"/>
    <col min="2009" max="2009" width="8.140625" style="233" customWidth="1"/>
    <col min="2010" max="2010" width="8.7109375" style="233"/>
    <col min="2011" max="2012" width="5.85546875" style="233" customWidth="1"/>
    <col min="2013" max="2013" width="7.5703125" style="233" customWidth="1"/>
    <col min="2014" max="2014" width="6.5703125" style="233" customWidth="1"/>
    <col min="2015" max="2015" width="5.85546875" style="233" customWidth="1"/>
    <col min="2016" max="2016" width="6.5703125" style="233" customWidth="1"/>
    <col min="2017" max="2018" width="7.85546875" style="233" customWidth="1"/>
    <col min="2019" max="2019" width="8.140625" style="233" customWidth="1"/>
    <col min="2020" max="2021" width="6.5703125" style="233" customWidth="1"/>
    <col min="2022" max="2022" width="5.85546875" style="233" customWidth="1"/>
    <col min="2023" max="2023" width="6.5703125" style="233" customWidth="1"/>
    <col min="2024" max="2024" width="7" style="233" customWidth="1"/>
    <col min="2025" max="2025" width="5.85546875" style="233" customWidth="1"/>
    <col min="2026" max="2026" width="10.85546875" style="233" customWidth="1"/>
    <col min="2027" max="2027" width="9" style="233" customWidth="1"/>
    <col min="2028" max="2028" width="8.5703125" style="233" customWidth="1"/>
    <col min="2029" max="2029" width="8" style="233" customWidth="1"/>
    <col min="2030" max="2030" width="8.5703125" style="233" customWidth="1"/>
    <col min="2031" max="2259" width="8.7109375" style="233"/>
    <col min="2260" max="2260" width="4.140625" style="233" bestFit="1" customWidth="1"/>
    <col min="2261" max="2261" width="16.5703125" style="233" customWidth="1"/>
    <col min="2262" max="2262" width="6.5703125" style="233" customWidth="1"/>
    <col min="2263" max="2263" width="8.7109375" style="233"/>
    <col min="2264" max="2264" width="12.42578125" style="233" customWidth="1"/>
    <col min="2265" max="2265" width="8.140625" style="233" customWidth="1"/>
    <col min="2266" max="2266" width="8.7109375" style="233"/>
    <col min="2267" max="2268" width="5.85546875" style="233" customWidth="1"/>
    <col min="2269" max="2269" width="7.5703125" style="233" customWidth="1"/>
    <col min="2270" max="2270" width="6.5703125" style="233" customWidth="1"/>
    <col min="2271" max="2271" width="5.85546875" style="233" customWidth="1"/>
    <col min="2272" max="2272" width="6.5703125" style="233" customWidth="1"/>
    <col min="2273" max="2274" width="7.85546875" style="233" customWidth="1"/>
    <col min="2275" max="2275" width="8.140625" style="233" customWidth="1"/>
    <col min="2276" max="2277" width="6.5703125" style="233" customWidth="1"/>
    <col min="2278" max="2278" width="5.85546875" style="233" customWidth="1"/>
    <col min="2279" max="2279" width="6.5703125" style="233" customWidth="1"/>
    <col min="2280" max="2280" width="7" style="233" customWidth="1"/>
    <col min="2281" max="2281" width="5.85546875" style="233" customWidth="1"/>
    <col min="2282" max="2282" width="10.85546875" style="233" customWidth="1"/>
    <col min="2283" max="2283" width="9" style="233" customWidth="1"/>
    <col min="2284" max="2284" width="8.5703125" style="233" customWidth="1"/>
    <col min="2285" max="2285" width="8" style="233" customWidth="1"/>
    <col min="2286" max="2286" width="8.5703125" style="233" customWidth="1"/>
    <col min="2287" max="2515" width="8.7109375" style="233"/>
    <col min="2516" max="2516" width="4.140625" style="233" bestFit="1" customWidth="1"/>
    <col min="2517" max="2517" width="16.5703125" style="233" customWidth="1"/>
    <col min="2518" max="2518" width="6.5703125" style="233" customWidth="1"/>
    <col min="2519" max="2519" width="8.7109375" style="233"/>
    <col min="2520" max="2520" width="12.42578125" style="233" customWidth="1"/>
    <col min="2521" max="2521" width="8.140625" style="233" customWidth="1"/>
    <col min="2522" max="2522" width="8.7109375" style="233"/>
    <col min="2523" max="2524" width="5.85546875" style="233" customWidth="1"/>
    <col min="2525" max="2525" width="7.5703125" style="233" customWidth="1"/>
    <col min="2526" max="2526" width="6.5703125" style="233" customWidth="1"/>
    <col min="2527" max="2527" width="5.85546875" style="233" customWidth="1"/>
    <col min="2528" max="2528" width="6.5703125" style="233" customWidth="1"/>
    <col min="2529" max="2530" width="7.85546875" style="233" customWidth="1"/>
    <col min="2531" max="2531" width="8.140625" style="233" customWidth="1"/>
    <col min="2532" max="2533" width="6.5703125" style="233" customWidth="1"/>
    <col min="2534" max="2534" width="5.85546875" style="233" customWidth="1"/>
    <col min="2535" max="2535" width="6.5703125" style="233" customWidth="1"/>
    <col min="2536" max="2536" width="7" style="233" customWidth="1"/>
    <col min="2537" max="2537" width="5.85546875" style="233" customWidth="1"/>
    <col min="2538" max="2538" width="10.85546875" style="233" customWidth="1"/>
    <col min="2539" max="2539" width="9" style="233" customWidth="1"/>
    <col min="2540" max="2540" width="8.5703125" style="233" customWidth="1"/>
    <col min="2541" max="2541" width="8" style="233" customWidth="1"/>
    <col min="2542" max="2542" width="8.5703125" style="233" customWidth="1"/>
    <col min="2543" max="2771" width="8.7109375" style="233"/>
    <col min="2772" max="2772" width="4.140625" style="233" bestFit="1" customWidth="1"/>
    <col min="2773" max="2773" width="16.5703125" style="233" customWidth="1"/>
    <col min="2774" max="2774" width="6.5703125" style="233" customWidth="1"/>
    <col min="2775" max="2775" width="8.7109375" style="233"/>
    <col min="2776" max="2776" width="12.42578125" style="233" customWidth="1"/>
    <col min="2777" max="2777" width="8.140625" style="233" customWidth="1"/>
    <col min="2778" max="2778" width="8.7109375" style="233"/>
    <col min="2779" max="2780" width="5.85546875" style="233" customWidth="1"/>
    <col min="2781" max="2781" width="7.5703125" style="233" customWidth="1"/>
    <col min="2782" max="2782" width="6.5703125" style="233" customWidth="1"/>
    <col min="2783" max="2783" width="5.85546875" style="233" customWidth="1"/>
    <col min="2784" max="2784" width="6.5703125" style="233" customWidth="1"/>
    <col min="2785" max="2786" width="7.85546875" style="233" customWidth="1"/>
    <col min="2787" max="2787" width="8.140625" style="233" customWidth="1"/>
    <col min="2788" max="2789" width="6.5703125" style="233" customWidth="1"/>
    <col min="2790" max="2790" width="5.85546875" style="233" customWidth="1"/>
    <col min="2791" max="2791" width="6.5703125" style="233" customWidth="1"/>
    <col min="2792" max="2792" width="7" style="233" customWidth="1"/>
    <col min="2793" max="2793" width="5.85546875" style="233" customWidth="1"/>
    <col min="2794" max="2794" width="10.85546875" style="233" customWidth="1"/>
    <col min="2795" max="2795" width="9" style="233" customWidth="1"/>
    <col min="2796" max="2796" width="8.5703125" style="233" customWidth="1"/>
    <col min="2797" max="2797" width="8" style="233" customWidth="1"/>
    <col min="2798" max="2798" width="8.5703125" style="233" customWidth="1"/>
    <col min="2799" max="3027" width="8.7109375" style="233"/>
    <col min="3028" max="3028" width="4.140625" style="233" bestFit="1" customWidth="1"/>
    <col min="3029" max="3029" width="16.5703125" style="233" customWidth="1"/>
    <col min="3030" max="3030" width="6.5703125" style="233" customWidth="1"/>
    <col min="3031" max="3031" width="8.7109375" style="233"/>
    <col min="3032" max="3032" width="12.42578125" style="233" customWidth="1"/>
    <col min="3033" max="3033" width="8.140625" style="233" customWidth="1"/>
    <col min="3034" max="3034" width="8.7109375" style="233"/>
    <col min="3035" max="3036" width="5.85546875" style="233" customWidth="1"/>
    <col min="3037" max="3037" width="7.5703125" style="233" customWidth="1"/>
    <col min="3038" max="3038" width="6.5703125" style="233" customWidth="1"/>
    <col min="3039" max="3039" width="5.85546875" style="233" customWidth="1"/>
    <col min="3040" max="3040" width="6.5703125" style="233" customWidth="1"/>
    <col min="3041" max="3042" width="7.85546875" style="233" customWidth="1"/>
    <col min="3043" max="3043" width="8.140625" style="233" customWidth="1"/>
    <col min="3044" max="3045" width="6.5703125" style="233" customWidth="1"/>
    <col min="3046" max="3046" width="5.85546875" style="233" customWidth="1"/>
    <col min="3047" max="3047" width="6.5703125" style="233" customWidth="1"/>
    <col min="3048" max="3048" width="7" style="233" customWidth="1"/>
    <col min="3049" max="3049" width="5.85546875" style="233" customWidth="1"/>
    <col min="3050" max="3050" width="10.85546875" style="233" customWidth="1"/>
    <col min="3051" max="3051" width="9" style="233" customWidth="1"/>
    <col min="3052" max="3052" width="8.5703125" style="233" customWidth="1"/>
    <col min="3053" max="3053" width="8" style="233" customWidth="1"/>
    <col min="3054" max="3054" width="8.5703125" style="233" customWidth="1"/>
    <col min="3055" max="3283" width="8.7109375" style="233"/>
    <col min="3284" max="3284" width="4.140625" style="233" bestFit="1" customWidth="1"/>
    <col min="3285" max="3285" width="16.5703125" style="233" customWidth="1"/>
    <col min="3286" max="3286" width="6.5703125" style="233" customWidth="1"/>
    <col min="3287" max="3287" width="8.7109375" style="233"/>
    <col min="3288" max="3288" width="12.42578125" style="233" customWidth="1"/>
    <col min="3289" max="3289" width="8.140625" style="233" customWidth="1"/>
    <col min="3290" max="3290" width="8.7109375" style="233"/>
    <col min="3291" max="3292" width="5.85546875" style="233" customWidth="1"/>
    <col min="3293" max="3293" width="7.5703125" style="233" customWidth="1"/>
    <col min="3294" max="3294" width="6.5703125" style="233" customWidth="1"/>
    <col min="3295" max="3295" width="5.85546875" style="233" customWidth="1"/>
    <col min="3296" max="3296" width="6.5703125" style="233" customWidth="1"/>
    <col min="3297" max="3298" width="7.85546875" style="233" customWidth="1"/>
    <col min="3299" max="3299" width="8.140625" style="233" customWidth="1"/>
    <col min="3300" max="3301" width="6.5703125" style="233" customWidth="1"/>
    <col min="3302" max="3302" width="5.85546875" style="233" customWidth="1"/>
    <col min="3303" max="3303" width="6.5703125" style="233" customWidth="1"/>
    <col min="3304" max="3304" width="7" style="233" customWidth="1"/>
    <col min="3305" max="3305" width="5.85546875" style="233" customWidth="1"/>
    <col min="3306" max="3306" width="10.85546875" style="233" customWidth="1"/>
    <col min="3307" max="3307" width="9" style="233" customWidth="1"/>
    <col min="3308" max="3308" width="8.5703125" style="233" customWidth="1"/>
    <col min="3309" max="3309" width="8" style="233" customWidth="1"/>
    <col min="3310" max="3310" width="8.5703125" style="233" customWidth="1"/>
    <col min="3311" max="3539" width="8.7109375" style="233"/>
    <col min="3540" max="3540" width="4.140625" style="233" bestFit="1" customWidth="1"/>
    <col min="3541" max="3541" width="16.5703125" style="233" customWidth="1"/>
    <col min="3542" max="3542" width="6.5703125" style="233" customWidth="1"/>
    <col min="3543" max="3543" width="8.7109375" style="233"/>
    <col min="3544" max="3544" width="12.42578125" style="233" customWidth="1"/>
    <col min="3545" max="3545" width="8.140625" style="233" customWidth="1"/>
    <col min="3546" max="3546" width="8.7109375" style="233"/>
    <col min="3547" max="3548" width="5.85546875" style="233" customWidth="1"/>
    <col min="3549" max="3549" width="7.5703125" style="233" customWidth="1"/>
    <col min="3550" max="3550" width="6.5703125" style="233" customWidth="1"/>
    <col min="3551" max="3551" width="5.85546875" style="233" customWidth="1"/>
    <col min="3552" max="3552" width="6.5703125" style="233" customWidth="1"/>
    <col min="3553" max="3554" width="7.85546875" style="233" customWidth="1"/>
    <col min="3555" max="3555" width="8.140625" style="233" customWidth="1"/>
    <col min="3556" max="3557" width="6.5703125" style="233" customWidth="1"/>
    <col min="3558" max="3558" width="5.85546875" style="233" customWidth="1"/>
    <col min="3559" max="3559" width="6.5703125" style="233" customWidth="1"/>
    <col min="3560" max="3560" width="7" style="233" customWidth="1"/>
    <col min="3561" max="3561" width="5.85546875" style="233" customWidth="1"/>
    <col min="3562" max="3562" width="10.85546875" style="233" customWidth="1"/>
    <col min="3563" max="3563" width="9" style="233" customWidth="1"/>
    <col min="3564" max="3564" width="8.5703125" style="233" customWidth="1"/>
    <col min="3565" max="3565" width="8" style="233" customWidth="1"/>
    <col min="3566" max="3566" width="8.5703125" style="233" customWidth="1"/>
    <col min="3567" max="3795" width="8.7109375" style="233"/>
    <col min="3796" max="3796" width="4.140625" style="233" bestFit="1" customWidth="1"/>
    <col min="3797" max="3797" width="16.5703125" style="233" customWidth="1"/>
    <col min="3798" max="3798" width="6.5703125" style="233" customWidth="1"/>
    <col min="3799" max="3799" width="8.7109375" style="233"/>
    <col min="3800" max="3800" width="12.42578125" style="233" customWidth="1"/>
    <col min="3801" max="3801" width="8.140625" style="233" customWidth="1"/>
    <col min="3802" max="3802" width="8.7109375" style="233"/>
    <col min="3803" max="3804" width="5.85546875" style="233" customWidth="1"/>
    <col min="3805" max="3805" width="7.5703125" style="233" customWidth="1"/>
    <col min="3806" max="3806" width="6.5703125" style="233" customWidth="1"/>
    <col min="3807" max="3807" width="5.85546875" style="233" customWidth="1"/>
    <col min="3808" max="3808" width="6.5703125" style="233" customWidth="1"/>
    <col min="3809" max="3810" width="7.85546875" style="233" customWidth="1"/>
    <col min="3811" max="3811" width="8.140625" style="233" customWidth="1"/>
    <col min="3812" max="3813" width="6.5703125" style="233" customWidth="1"/>
    <col min="3814" max="3814" width="5.85546875" style="233" customWidth="1"/>
    <col min="3815" max="3815" width="6.5703125" style="233" customWidth="1"/>
    <col min="3816" max="3816" width="7" style="233" customWidth="1"/>
    <col min="3817" max="3817" width="5.85546875" style="233" customWidth="1"/>
    <col min="3818" max="3818" width="10.85546875" style="233" customWidth="1"/>
    <col min="3819" max="3819" width="9" style="233" customWidth="1"/>
    <col min="3820" max="3820" width="8.5703125" style="233" customWidth="1"/>
    <col min="3821" max="3821" width="8" style="233" customWidth="1"/>
    <col min="3822" max="3822" width="8.5703125" style="233" customWidth="1"/>
    <col min="3823" max="4051" width="8.7109375" style="233"/>
    <col min="4052" max="4052" width="4.140625" style="233" bestFit="1" customWidth="1"/>
    <col min="4053" max="4053" width="16.5703125" style="233" customWidth="1"/>
    <col min="4054" max="4054" width="6.5703125" style="233" customWidth="1"/>
    <col min="4055" max="4055" width="8.7109375" style="233"/>
    <col min="4056" max="4056" width="12.42578125" style="233" customWidth="1"/>
    <col min="4057" max="4057" width="8.140625" style="233" customWidth="1"/>
    <col min="4058" max="4058" width="8.7109375" style="233"/>
    <col min="4059" max="4060" width="5.85546875" style="233" customWidth="1"/>
    <col min="4061" max="4061" width="7.5703125" style="233" customWidth="1"/>
    <col min="4062" max="4062" width="6.5703125" style="233" customWidth="1"/>
    <col min="4063" max="4063" width="5.85546875" style="233" customWidth="1"/>
    <col min="4064" max="4064" width="6.5703125" style="233" customWidth="1"/>
    <col min="4065" max="4066" width="7.85546875" style="233" customWidth="1"/>
    <col min="4067" max="4067" width="8.140625" style="233" customWidth="1"/>
    <col min="4068" max="4069" width="6.5703125" style="233" customWidth="1"/>
    <col min="4070" max="4070" width="5.85546875" style="233" customWidth="1"/>
    <col min="4071" max="4071" width="6.5703125" style="233" customWidth="1"/>
    <col min="4072" max="4072" width="7" style="233" customWidth="1"/>
    <col min="4073" max="4073" width="5.85546875" style="233" customWidth="1"/>
    <col min="4074" max="4074" width="10.85546875" style="233" customWidth="1"/>
    <col min="4075" max="4075" width="9" style="233" customWidth="1"/>
    <col min="4076" max="4076" width="8.5703125" style="233" customWidth="1"/>
    <col min="4077" max="4077" width="8" style="233" customWidth="1"/>
    <col min="4078" max="4078" width="8.5703125" style="233" customWidth="1"/>
    <col min="4079" max="4307" width="8.7109375" style="233"/>
    <col min="4308" max="4308" width="4.140625" style="233" bestFit="1" customWidth="1"/>
    <col min="4309" max="4309" width="16.5703125" style="233" customWidth="1"/>
    <col min="4310" max="4310" width="6.5703125" style="233" customWidth="1"/>
    <col min="4311" max="4311" width="8.7109375" style="233"/>
    <col min="4312" max="4312" width="12.42578125" style="233" customWidth="1"/>
    <col min="4313" max="4313" width="8.140625" style="233" customWidth="1"/>
    <col min="4314" max="4314" width="8.7109375" style="233"/>
    <col min="4315" max="4316" width="5.85546875" style="233" customWidth="1"/>
    <col min="4317" max="4317" width="7.5703125" style="233" customWidth="1"/>
    <col min="4318" max="4318" width="6.5703125" style="233" customWidth="1"/>
    <col min="4319" max="4319" width="5.85546875" style="233" customWidth="1"/>
    <col min="4320" max="4320" width="6.5703125" style="233" customWidth="1"/>
    <col min="4321" max="4322" width="7.85546875" style="233" customWidth="1"/>
    <col min="4323" max="4323" width="8.140625" style="233" customWidth="1"/>
    <col min="4324" max="4325" width="6.5703125" style="233" customWidth="1"/>
    <col min="4326" max="4326" width="5.85546875" style="233" customWidth="1"/>
    <col min="4327" max="4327" width="6.5703125" style="233" customWidth="1"/>
    <col min="4328" max="4328" width="7" style="233" customWidth="1"/>
    <col min="4329" max="4329" width="5.85546875" style="233" customWidth="1"/>
    <col min="4330" max="4330" width="10.85546875" style="233" customWidth="1"/>
    <col min="4331" max="4331" width="9" style="233" customWidth="1"/>
    <col min="4332" max="4332" width="8.5703125" style="233" customWidth="1"/>
    <col min="4333" max="4333" width="8" style="233" customWidth="1"/>
    <col min="4334" max="4334" width="8.5703125" style="233" customWidth="1"/>
    <col min="4335" max="4563" width="8.7109375" style="233"/>
    <col min="4564" max="4564" width="4.140625" style="233" bestFit="1" customWidth="1"/>
    <col min="4565" max="4565" width="16.5703125" style="233" customWidth="1"/>
    <col min="4566" max="4566" width="6.5703125" style="233" customWidth="1"/>
    <col min="4567" max="4567" width="8.7109375" style="233"/>
    <col min="4568" max="4568" width="12.42578125" style="233" customWidth="1"/>
    <col min="4569" max="4569" width="8.140625" style="233" customWidth="1"/>
    <col min="4570" max="4570" width="8.7109375" style="233"/>
    <col min="4571" max="4572" width="5.85546875" style="233" customWidth="1"/>
    <col min="4573" max="4573" width="7.5703125" style="233" customWidth="1"/>
    <col min="4574" max="4574" width="6.5703125" style="233" customWidth="1"/>
    <col min="4575" max="4575" width="5.85546875" style="233" customWidth="1"/>
    <col min="4576" max="4576" width="6.5703125" style="233" customWidth="1"/>
    <col min="4577" max="4578" width="7.85546875" style="233" customWidth="1"/>
    <col min="4579" max="4579" width="8.140625" style="233" customWidth="1"/>
    <col min="4580" max="4581" width="6.5703125" style="233" customWidth="1"/>
    <col min="4582" max="4582" width="5.85546875" style="233" customWidth="1"/>
    <col min="4583" max="4583" width="6.5703125" style="233" customWidth="1"/>
    <col min="4584" max="4584" width="7" style="233" customWidth="1"/>
    <col min="4585" max="4585" width="5.85546875" style="233" customWidth="1"/>
    <col min="4586" max="4586" width="10.85546875" style="233" customWidth="1"/>
    <col min="4587" max="4587" width="9" style="233" customWidth="1"/>
    <col min="4588" max="4588" width="8.5703125" style="233" customWidth="1"/>
    <col min="4589" max="4589" width="8" style="233" customWidth="1"/>
    <col min="4590" max="4590" width="8.5703125" style="233" customWidth="1"/>
    <col min="4591" max="4819" width="8.7109375" style="233"/>
    <col min="4820" max="4820" width="4.140625" style="233" bestFit="1" customWidth="1"/>
    <col min="4821" max="4821" width="16.5703125" style="233" customWidth="1"/>
    <col min="4822" max="4822" width="6.5703125" style="233" customWidth="1"/>
    <col min="4823" max="4823" width="8.7109375" style="233"/>
    <col min="4824" max="4824" width="12.42578125" style="233" customWidth="1"/>
    <col min="4825" max="4825" width="8.140625" style="233" customWidth="1"/>
    <col min="4826" max="4826" width="8.7109375" style="233"/>
    <col min="4827" max="4828" width="5.85546875" style="233" customWidth="1"/>
    <col min="4829" max="4829" width="7.5703125" style="233" customWidth="1"/>
    <col min="4830" max="4830" width="6.5703125" style="233" customWidth="1"/>
    <col min="4831" max="4831" width="5.85546875" style="233" customWidth="1"/>
    <col min="4832" max="4832" width="6.5703125" style="233" customWidth="1"/>
    <col min="4833" max="4834" width="7.85546875" style="233" customWidth="1"/>
    <col min="4835" max="4835" width="8.140625" style="233" customWidth="1"/>
    <col min="4836" max="4837" width="6.5703125" style="233" customWidth="1"/>
    <col min="4838" max="4838" width="5.85546875" style="233" customWidth="1"/>
    <col min="4839" max="4839" width="6.5703125" style="233" customWidth="1"/>
    <col min="4840" max="4840" width="7" style="233" customWidth="1"/>
    <col min="4841" max="4841" width="5.85546875" style="233" customWidth="1"/>
    <col min="4842" max="4842" width="10.85546875" style="233" customWidth="1"/>
    <col min="4843" max="4843" width="9" style="233" customWidth="1"/>
    <col min="4844" max="4844" width="8.5703125" style="233" customWidth="1"/>
    <col min="4845" max="4845" width="8" style="233" customWidth="1"/>
    <col min="4846" max="4846" width="8.5703125" style="233" customWidth="1"/>
    <col min="4847" max="5075" width="8.7109375" style="233"/>
    <col min="5076" max="5076" width="4.140625" style="233" bestFit="1" customWidth="1"/>
    <col min="5077" max="5077" width="16.5703125" style="233" customWidth="1"/>
    <col min="5078" max="5078" width="6.5703125" style="233" customWidth="1"/>
    <col min="5079" max="5079" width="8.7109375" style="233"/>
    <col min="5080" max="5080" width="12.42578125" style="233" customWidth="1"/>
    <col min="5081" max="5081" width="8.140625" style="233" customWidth="1"/>
    <col min="5082" max="5082" width="8.7109375" style="233"/>
    <col min="5083" max="5084" width="5.85546875" style="233" customWidth="1"/>
    <col min="5085" max="5085" width="7.5703125" style="233" customWidth="1"/>
    <col min="5086" max="5086" width="6.5703125" style="233" customWidth="1"/>
    <col min="5087" max="5087" width="5.85546875" style="233" customWidth="1"/>
    <col min="5088" max="5088" width="6.5703125" style="233" customWidth="1"/>
    <col min="5089" max="5090" width="7.85546875" style="233" customWidth="1"/>
    <col min="5091" max="5091" width="8.140625" style="233" customWidth="1"/>
    <col min="5092" max="5093" width="6.5703125" style="233" customWidth="1"/>
    <col min="5094" max="5094" width="5.85546875" style="233" customWidth="1"/>
    <col min="5095" max="5095" width="6.5703125" style="233" customWidth="1"/>
    <col min="5096" max="5096" width="7" style="233" customWidth="1"/>
    <col min="5097" max="5097" width="5.85546875" style="233" customWidth="1"/>
    <col min="5098" max="5098" width="10.85546875" style="233" customWidth="1"/>
    <col min="5099" max="5099" width="9" style="233" customWidth="1"/>
    <col min="5100" max="5100" width="8.5703125" style="233" customWidth="1"/>
    <col min="5101" max="5101" width="8" style="233" customWidth="1"/>
    <col min="5102" max="5102" width="8.5703125" style="233" customWidth="1"/>
    <col min="5103" max="5331" width="8.7109375" style="233"/>
    <col min="5332" max="5332" width="4.140625" style="233" bestFit="1" customWidth="1"/>
    <col min="5333" max="5333" width="16.5703125" style="233" customWidth="1"/>
    <col min="5334" max="5334" width="6.5703125" style="233" customWidth="1"/>
    <col min="5335" max="5335" width="8.7109375" style="233"/>
    <col min="5336" max="5336" width="12.42578125" style="233" customWidth="1"/>
    <col min="5337" max="5337" width="8.140625" style="233" customWidth="1"/>
    <col min="5338" max="5338" width="8.7109375" style="233"/>
    <col min="5339" max="5340" width="5.85546875" style="233" customWidth="1"/>
    <col min="5341" max="5341" width="7.5703125" style="233" customWidth="1"/>
    <col min="5342" max="5342" width="6.5703125" style="233" customWidth="1"/>
    <col min="5343" max="5343" width="5.85546875" style="233" customWidth="1"/>
    <col min="5344" max="5344" width="6.5703125" style="233" customWidth="1"/>
    <col min="5345" max="5346" width="7.85546875" style="233" customWidth="1"/>
    <col min="5347" max="5347" width="8.140625" style="233" customWidth="1"/>
    <col min="5348" max="5349" width="6.5703125" style="233" customWidth="1"/>
    <col min="5350" max="5350" width="5.85546875" style="233" customWidth="1"/>
    <col min="5351" max="5351" width="6.5703125" style="233" customWidth="1"/>
    <col min="5352" max="5352" width="7" style="233" customWidth="1"/>
    <col min="5353" max="5353" width="5.85546875" style="233" customWidth="1"/>
    <col min="5354" max="5354" width="10.85546875" style="233" customWidth="1"/>
    <col min="5355" max="5355" width="9" style="233" customWidth="1"/>
    <col min="5356" max="5356" width="8.5703125" style="233" customWidth="1"/>
    <col min="5357" max="5357" width="8" style="233" customWidth="1"/>
    <col min="5358" max="5358" width="8.5703125" style="233" customWidth="1"/>
    <col min="5359" max="5587" width="8.7109375" style="233"/>
    <col min="5588" max="5588" width="4.140625" style="233" bestFit="1" customWidth="1"/>
    <col min="5589" max="5589" width="16.5703125" style="233" customWidth="1"/>
    <col min="5590" max="5590" width="6.5703125" style="233" customWidth="1"/>
    <col min="5591" max="5591" width="8.7109375" style="233"/>
    <col min="5592" max="5592" width="12.42578125" style="233" customWidth="1"/>
    <col min="5593" max="5593" width="8.140625" style="233" customWidth="1"/>
    <col min="5594" max="5594" width="8.7109375" style="233"/>
    <col min="5595" max="5596" width="5.85546875" style="233" customWidth="1"/>
    <col min="5597" max="5597" width="7.5703125" style="233" customWidth="1"/>
    <col min="5598" max="5598" width="6.5703125" style="233" customWidth="1"/>
    <col min="5599" max="5599" width="5.85546875" style="233" customWidth="1"/>
    <col min="5600" max="5600" width="6.5703125" style="233" customWidth="1"/>
    <col min="5601" max="5602" width="7.85546875" style="233" customWidth="1"/>
    <col min="5603" max="5603" width="8.140625" style="233" customWidth="1"/>
    <col min="5604" max="5605" width="6.5703125" style="233" customWidth="1"/>
    <col min="5606" max="5606" width="5.85546875" style="233" customWidth="1"/>
    <col min="5607" max="5607" width="6.5703125" style="233" customWidth="1"/>
    <col min="5608" max="5608" width="7" style="233" customWidth="1"/>
    <col min="5609" max="5609" width="5.85546875" style="233" customWidth="1"/>
    <col min="5610" max="5610" width="10.85546875" style="233" customWidth="1"/>
    <col min="5611" max="5611" width="9" style="233" customWidth="1"/>
    <col min="5612" max="5612" width="8.5703125" style="233" customWidth="1"/>
    <col min="5613" max="5613" width="8" style="233" customWidth="1"/>
    <col min="5614" max="5614" width="8.5703125" style="233" customWidth="1"/>
    <col min="5615" max="5843" width="8.7109375" style="233"/>
    <col min="5844" max="5844" width="4.140625" style="233" bestFit="1" customWidth="1"/>
    <col min="5845" max="5845" width="16.5703125" style="233" customWidth="1"/>
    <col min="5846" max="5846" width="6.5703125" style="233" customWidth="1"/>
    <col min="5847" max="5847" width="8.7109375" style="233"/>
    <col min="5848" max="5848" width="12.42578125" style="233" customWidth="1"/>
    <col min="5849" max="5849" width="8.140625" style="233" customWidth="1"/>
    <col min="5850" max="5850" width="8.7109375" style="233"/>
    <col min="5851" max="5852" width="5.85546875" style="233" customWidth="1"/>
    <col min="5853" max="5853" width="7.5703125" style="233" customWidth="1"/>
    <col min="5854" max="5854" width="6.5703125" style="233" customWidth="1"/>
    <col min="5855" max="5855" width="5.85546875" style="233" customWidth="1"/>
    <col min="5856" max="5856" width="6.5703125" style="233" customWidth="1"/>
    <col min="5857" max="5858" width="7.85546875" style="233" customWidth="1"/>
    <col min="5859" max="5859" width="8.140625" style="233" customWidth="1"/>
    <col min="5860" max="5861" width="6.5703125" style="233" customWidth="1"/>
    <col min="5862" max="5862" width="5.85546875" style="233" customWidth="1"/>
    <col min="5863" max="5863" width="6.5703125" style="233" customWidth="1"/>
    <col min="5864" max="5864" width="7" style="233" customWidth="1"/>
    <col min="5865" max="5865" width="5.85546875" style="233" customWidth="1"/>
    <col min="5866" max="5866" width="10.85546875" style="233" customWidth="1"/>
    <col min="5867" max="5867" width="9" style="233" customWidth="1"/>
    <col min="5868" max="5868" width="8.5703125" style="233" customWidth="1"/>
    <col min="5869" max="5869" width="8" style="233" customWidth="1"/>
    <col min="5870" max="5870" width="8.5703125" style="233" customWidth="1"/>
    <col min="5871" max="6099" width="8.7109375" style="233"/>
    <col min="6100" max="6100" width="4.140625" style="233" bestFit="1" customWidth="1"/>
    <col min="6101" max="6101" width="16.5703125" style="233" customWidth="1"/>
    <col min="6102" max="6102" width="6.5703125" style="233" customWidth="1"/>
    <col min="6103" max="6103" width="8.7109375" style="233"/>
    <col min="6104" max="6104" width="12.42578125" style="233" customWidth="1"/>
    <col min="6105" max="6105" width="8.140625" style="233" customWidth="1"/>
    <col min="6106" max="6106" width="8.7109375" style="233"/>
    <col min="6107" max="6108" width="5.85546875" style="233" customWidth="1"/>
    <col min="6109" max="6109" width="7.5703125" style="233" customWidth="1"/>
    <col min="6110" max="6110" width="6.5703125" style="233" customWidth="1"/>
    <col min="6111" max="6111" width="5.85546875" style="233" customWidth="1"/>
    <col min="6112" max="6112" width="6.5703125" style="233" customWidth="1"/>
    <col min="6113" max="6114" width="7.85546875" style="233" customWidth="1"/>
    <col min="6115" max="6115" width="8.140625" style="233" customWidth="1"/>
    <col min="6116" max="6117" width="6.5703125" style="233" customWidth="1"/>
    <col min="6118" max="6118" width="5.85546875" style="233" customWidth="1"/>
    <col min="6119" max="6119" width="6.5703125" style="233" customWidth="1"/>
    <col min="6120" max="6120" width="7" style="233" customWidth="1"/>
    <col min="6121" max="6121" width="5.85546875" style="233" customWidth="1"/>
    <col min="6122" max="6122" width="10.85546875" style="233" customWidth="1"/>
    <col min="6123" max="6123" width="9" style="233" customWidth="1"/>
    <col min="6124" max="6124" width="8.5703125" style="233" customWidth="1"/>
    <col min="6125" max="6125" width="8" style="233" customWidth="1"/>
    <col min="6126" max="6126" width="8.5703125" style="233" customWidth="1"/>
    <col min="6127" max="6355" width="8.7109375" style="233"/>
    <col min="6356" max="6356" width="4.140625" style="233" bestFit="1" customWidth="1"/>
    <col min="6357" max="6357" width="16.5703125" style="233" customWidth="1"/>
    <col min="6358" max="6358" width="6.5703125" style="233" customWidth="1"/>
    <col min="6359" max="6359" width="8.7109375" style="233"/>
    <col min="6360" max="6360" width="12.42578125" style="233" customWidth="1"/>
    <col min="6361" max="6361" width="8.140625" style="233" customWidth="1"/>
    <col min="6362" max="6362" width="8.7109375" style="233"/>
    <col min="6363" max="6364" width="5.85546875" style="233" customWidth="1"/>
    <col min="6365" max="6365" width="7.5703125" style="233" customWidth="1"/>
    <col min="6366" max="6366" width="6.5703125" style="233" customWidth="1"/>
    <col min="6367" max="6367" width="5.85546875" style="233" customWidth="1"/>
    <col min="6368" max="6368" width="6.5703125" style="233" customWidth="1"/>
    <col min="6369" max="6370" width="7.85546875" style="233" customWidth="1"/>
    <col min="6371" max="6371" width="8.140625" style="233" customWidth="1"/>
    <col min="6372" max="6373" width="6.5703125" style="233" customWidth="1"/>
    <col min="6374" max="6374" width="5.85546875" style="233" customWidth="1"/>
    <col min="6375" max="6375" width="6.5703125" style="233" customWidth="1"/>
    <col min="6376" max="6376" width="7" style="233" customWidth="1"/>
    <col min="6377" max="6377" width="5.85546875" style="233" customWidth="1"/>
    <col min="6378" max="6378" width="10.85546875" style="233" customWidth="1"/>
    <col min="6379" max="6379" width="9" style="233" customWidth="1"/>
    <col min="6380" max="6380" width="8.5703125" style="233" customWidth="1"/>
    <col min="6381" max="6381" width="8" style="233" customWidth="1"/>
    <col min="6382" max="6382" width="8.5703125" style="233" customWidth="1"/>
    <col min="6383" max="6611" width="8.7109375" style="233"/>
    <col min="6612" max="6612" width="4.140625" style="233" bestFit="1" customWidth="1"/>
    <col min="6613" max="6613" width="16.5703125" style="233" customWidth="1"/>
    <col min="6614" max="6614" width="6.5703125" style="233" customWidth="1"/>
    <col min="6615" max="6615" width="8.7109375" style="233"/>
    <col min="6616" max="6616" width="12.42578125" style="233" customWidth="1"/>
    <col min="6617" max="6617" width="8.140625" style="233" customWidth="1"/>
    <col min="6618" max="6618" width="8.7109375" style="233"/>
    <col min="6619" max="6620" width="5.85546875" style="233" customWidth="1"/>
    <col min="6621" max="6621" width="7.5703125" style="233" customWidth="1"/>
    <col min="6622" max="6622" width="6.5703125" style="233" customWidth="1"/>
    <col min="6623" max="6623" width="5.85546875" style="233" customWidth="1"/>
    <col min="6624" max="6624" width="6.5703125" style="233" customWidth="1"/>
    <col min="6625" max="6626" width="7.85546875" style="233" customWidth="1"/>
    <col min="6627" max="6627" width="8.140625" style="233" customWidth="1"/>
    <col min="6628" max="6629" width="6.5703125" style="233" customWidth="1"/>
    <col min="6630" max="6630" width="5.85546875" style="233" customWidth="1"/>
    <col min="6631" max="6631" width="6.5703125" style="233" customWidth="1"/>
    <col min="6632" max="6632" width="7" style="233" customWidth="1"/>
    <col min="6633" max="6633" width="5.85546875" style="233" customWidth="1"/>
    <col min="6634" max="6634" width="10.85546875" style="233" customWidth="1"/>
    <col min="6635" max="6635" width="9" style="233" customWidth="1"/>
    <col min="6636" max="6636" width="8.5703125" style="233" customWidth="1"/>
    <col min="6637" max="6637" width="8" style="233" customWidth="1"/>
    <col min="6638" max="6638" width="8.5703125" style="233" customWidth="1"/>
    <col min="6639" max="6867" width="8.7109375" style="233"/>
    <col min="6868" max="6868" width="4.140625" style="233" bestFit="1" customWidth="1"/>
    <col min="6869" max="6869" width="16.5703125" style="233" customWidth="1"/>
    <col min="6870" max="6870" width="6.5703125" style="233" customWidth="1"/>
    <col min="6871" max="6871" width="8.7109375" style="233"/>
    <col min="6872" max="6872" width="12.42578125" style="233" customWidth="1"/>
    <col min="6873" max="6873" width="8.140625" style="233" customWidth="1"/>
    <col min="6874" max="6874" width="8.7109375" style="233"/>
    <col min="6875" max="6876" width="5.85546875" style="233" customWidth="1"/>
    <col min="6877" max="6877" width="7.5703125" style="233" customWidth="1"/>
    <col min="6878" max="6878" width="6.5703125" style="233" customWidth="1"/>
    <col min="6879" max="6879" width="5.85546875" style="233" customWidth="1"/>
    <col min="6880" max="6880" width="6.5703125" style="233" customWidth="1"/>
    <col min="6881" max="6882" width="7.85546875" style="233" customWidth="1"/>
    <col min="6883" max="6883" width="8.140625" style="233" customWidth="1"/>
    <col min="6884" max="6885" width="6.5703125" style="233" customWidth="1"/>
    <col min="6886" max="6886" width="5.85546875" style="233" customWidth="1"/>
    <col min="6887" max="6887" width="6.5703125" style="233" customWidth="1"/>
    <col min="6888" max="6888" width="7" style="233" customWidth="1"/>
    <col min="6889" max="6889" width="5.85546875" style="233" customWidth="1"/>
    <col min="6890" max="6890" width="10.85546875" style="233" customWidth="1"/>
    <col min="6891" max="6891" width="9" style="233" customWidth="1"/>
    <col min="6892" max="6892" width="8.5703125" style="233" customWidth="1"/>
    <col min="6893" max="6893" width="8" style="233" customWidth="1"/>
    <col min="6894" max="6894" width="8.5703125" style="233" customWidth="1"/>
    <col min="6895" max="7123" width="8.7109375" style="233"/>
    <col min="7124" max="7124" width="4.140625" style="233" bestFit="1" customWidth="1"/>
    <col min="7125" max="7125" width="16.5703125" style="233" customWidth="1"/>
    <col min="7126" max="7126" width="6.5703125" style="233" customWidth="1"/>
    <col min="7127" max="7127" width="8.7109375" style="233"/>
    <col min="7128" max="7128" width="12.42578125" style="233" customWidth="1"/>
    <col min="7129" max="7129" width="8.140625" style="233" customWidth="1"/>
    <col min="7130" max="7130" width="8.7109375" style="233"/>
    <col min="7131" max="7132" width="5.85546875" style="233" customWidth="1"/>
    <col min="7133" max="7133" width="7.5703125" style="233" customWidth="1"/>
    <col min="7134" max="7134" width="6.5703125" style="233" customWidth="1"/>
    <col min="7135" max="7135" width="5.85546875" style="233" customWidth="1"/>
    <col min="7136" max="7136" width="6.5703125" style="233" customWidth="1"/>
    <col min="7137" max="7138" width="7.85546875" style="233" customWidth="1"/>
    <col min="7139" max="7139" width="8.140625" style="233" customWidth="1"/>
    <col min="7140" max="7141" width="6.5703125" style="233" customWidth="1"/>
    <col min="7142" max="7142" width="5.85546875" style="233" customWidth="1"/>
    <col min="7143" max="7143" width="6.5703125" style="233" customWidth="1"/>
    <col min="7144" max="7144" width="7" style="233" customWidth="1"/>
    <col min="7145" max="7145" width="5.85546875" style="233" customWidth="1"/>
    <col min="7146" max="7146" width="10.85546875" style="233" customWidth="1"/>
    <col min="7147" max="7147" width="9" style="233" customWidth="1"/>
    <col min="7148" max="7148" width="8.5703125" style="233" customWidth="1"/>
    <col min="7149" max="7149" width="8" style="233" customWidth="1"/>
    <col min="7150" max="7150" width="8.5703125" style="233" customWidth="1"/>
    <col min="7151" max="7379" width="8.7109375" style="233"/>
    <col min="7380" max="7380" width="4.140625" style="233" bestFit="1" customWidth="1"/>
    <col min="7381" max="7381" width="16.5703125" style="233" customWidth="1"/>
    <col min="7382" max="7382" width="6.5703125" style="233" customWidth="1"/>
    <col min="7383" max="7383" width="8.7109375" style="233"/>
    <col min="7384" max="7384" width="12.42578125" style="233" customWidth="1"/>
    <col min="7385" max="7385" width="8.140625" style="233" customWidth="1"/>
    <col min="7386" max="7386" width="8.7109375" style="233"/>
    <col min="7387" max="7388" width="5.85546875" style="233" customWidth="1"/>
    <col min="7389" max="7389" width="7.5703125" style="233" customWidth="1"/>
    <col min="7390" max="7390" width="6.5703125" style="233" customWidth="1"/>
    <col min="7391" max="7391" width="5.85546875" style="233" customWidth="1"/>
    <col min="7392" max="7392" width="6.5703125" style="233" customWidth="1"/>
    <col min="7393" max="7394" width="7.85546875" style="233" customWidth="1"/>
    <col min="7395" max="7395" width="8.140625" style="233" customWidth="1"/>
    <col min="7396" max="7397" width="6.5703125" style="233" customWidth="1"/>
    <col min="7398" max="7398" width="5.85546875" style="233" customWidth="1"/>
    <col min="7399" max="7399" width="6.5703125" style="233" customWidth="1"/>
    <col min="7400" max="7400" width="7" style="233" customWidth="1"/>
    <col min="7401" max="7401" width="5.85546875" style="233" customWidth="1"/>
    <col min="7402" max="7402" width="10.85546875" style="233" customWidth="1"/>
    <col min="7403" max="7403" width="9" style="233" customWidth="1"/>
    <col min="7404" max="7404" width="8.5703125" style="233" customWidth="1"/>
    <col min="7405" max="7405" width="8" style="233" customWidth="1"/>
    <col min="7406" max="7406" width="8.5703125" style="233" customWidth="1"/>
    <col min="7407" max="7635" width="8.7109375" style="233"/>
    <col min="7636" max="7636" width="4.140625" style="233" bestFit="1" customWidth="1"/>
    <col min="7637" max="7637" width="16.5703125" style="233" customWidth="1"/>
    <col min="7638" max="7638" width="6.5703125" style="233" customWidth="1"/>
    <col min="7639" max="7639" width="8.7109375" style="233"/>
    <col min="7640" max="7640" width="12.42578125" style="233" customWidth="1"/>
    <col min="7641" max="7641" width="8.140625" style="233" customWidth="1"/>
    <col min="7642" max="7642" width="8.7109375" style="233"/>
    <col min="7643" max="7644" width="5.85546875" style="233" customWidth="1"/>
    <col min="7645" max="7645" width="7.5703125" style="233" customWidth="1"/>
    <col min="7646" max="7646" width="6.5703125" style="233" customWidth="1"/>
    <col min="7647" max="7647" width="5.85546875" style="233" customWidth="1"/>
    <col min="7648" max="7648" width="6.5703125" style="233" customWidth="1"/>
    <col min="7649" max="7650" width="7.85546875" style="233" customWidth="1"/>
    <col min="7651" max="7651" width="8.140625" style="233" customWidth="1"/>
    <col min="7652" max="7653" width="6.5703125" style="233" customWidth="1"/>
    <col min="7654" max="7654" width="5.85546875" style="233" customWidth="1"/>
    <col min="7655" max="7655" width="6.5703125" style="233" customWidth="1"/>
    <col min="7656" max="7656" width="7" style="233" customWidth="1"/>
    <col min="7657" max="7657" width="5.85546875" style="233" customWidth="1"/>
    <col min="7658" max="7658" width="10.85546875" style="233" customWidth="1"/>
    <col min="7659" max="7659" width="9" style="233" customWidth="1"/>
    <col min="7660" max="7660" width="8.5703125" style="233" customWidth="1"/>
    <col min="7661" max="7661" width="8" style="233" customWidth="1"/>
    <col min="7662" max="7662" width="8.5703125" style="233" customWidth="1"/>
    <col min="7663" max="7891" width="8.7109375" style="233"/>
    <col min="7892" max="7892" width="4.140625" style="233" bestFit="1" customWidth="1"/>
    <col min="7893" max="7893" width="16.5703125" style="233" customWidth="1"/>
    <col min="7894" max="7894" width="6.5703125" style="233" customWidth="1"/>
    <col min="7895" max="7895" width="8.7109375" style="233"/>
    <col min="7896" max="7896" width="12.42578125" style="233" customWidth="1"/>
    <col min="7897" max="7897" width="8.140625" style="233" customWidth="1"/>
    <col min="7898" max="7898" width="8.7109375" style="233"/>
    <col min="7899" max="7900" width="5.85546875" style="233" customWidth="1"/>
    <col min="7901" max="7901" width="7.5703125" style="233" customWidth="1"/>
    <col min="7902" max="7902" width="6.5703125" style="233" customWidth="1"/>
    <col min="7903" max="7903" width="5.85546875" style="233" customWidth="1"/>
    <col min="7904" max="7904" width="6.5703125" style="233" customWidth="1"/>
    <col min="7905" max="7906" width="7.85546875" style="233" customWidth="1"/>
    <col min="7907" max="7907" width="8.140625" style="233" customWidth="1"/>
    <col min="7908" max="7909" width="6.5703125" style="233" customWidth="1"/>
    <col min="7910" max="7910" width="5.85546875" style="233" customWidth="1"/>
    <col min="7911" max="7911" width="6.5703125" style="233" customWidth="1"/>
    <col min="7912" max="7912" width="7" style="233" customWidth="1"/>
    <col min="7913" max="7913" width="5.85546875" style="233" customWidth="1"/>
    <col min="7914" max="7914" width="10.85546875" style="233" customWidth="1"/>
    <col min="7915" max="7915" width="9" style="233" customWidth="1"/>
    <col min="7916" max="7916" width="8.5703125" style="233" customWidth="1"/>
    <col min="7917" max="7917" width="8" style="233" customWidth="1"/>
    <col min="7918" max="7918" width="8.5703125" style="233" customWidth="1"/>
    <col min="7919" max="8147" width="8.7109375" style="233"/>
    <col min="8148" max="8148" width="4.140625" style="233" bestFit="1" customWidth="1"/>
    <col min="8149" max="8149" width="16.5703125" style="233" customWidth="1"/>
    <col min="8150" max="8150" width="6.5703125" style="233" customWidth="1"/>
    <col min="8151" max="8151" width="8.7109375" style="233"/>
    <col min="8152" max="8152" width="12.42578125" style="233" customWidth="1"/>
    <col min="8153" max="8153" width="8.140625" style="233" customWidth="1"/>
    <col min="8154" max="8154" width="8.7109375" style="233"/>
    <col min="8155" max="8156" width="5.85546875" style="233" customWidth="1"/>
    <col min="8157" max="8157" width="7.5703125" style="233" customWidth="1"/>
    <col min="8158" max="8158" width="6.5703125" style="233" customWidth="1"/>
    <col min="8159" max="8159" width="5.85546875" style="233" customWidth="1"/>
    <col min="8160" max="8160" width="6.5703125" style="233" customWidth="1"/>
    <col min="8161" max="8162" width="7.85546875" style="233" customWidth="1"/>
    <col min="8163" max="8163" width="8.140625" style="233" customWidth="1"/>
    <col min="8164" max="8165" width="6.5703125" style="233" customWidth="1"/>
    <col min="8166" max="8166" width="5.85546875" style="233" customWidth="1"/>
    <col min="8167" max="8167" width="6.5703125" style="233" customWidth="1"/>
    <col min="8168" max="8168" width="7" style="233" customWidth="1"/>
    <col min="8169" max="8169" width="5.85546875" style="233" customWidth="1"/>
    <col min="8170" max="8170" width="10.85546875" style="233" customWidth="1"/>
    <col min="8171" max="8171" width="9" style="233" customWidth="1"/>
    <col min="8172" max="8172" width="8.5703125" style="233" customWidth="1"/>
    <col min="8173" max="8173" width="8" style="233" customWidth="1"/>
    <col min="8174" max="8174" width="8.5703125" style="233" customWidth="1"/>
    <col min="8175" max="8403" width="8.7109375" style="233"/>
    <col min="8404" max="8404" width="4.140625" style="233" bestFit="1" customWidth="1"/>
    <col min="8405" max="8405" width="16.5703125" style="233" customWidth="1"/>
    <col min="8406" max="8406" width="6.5703125" style="233" customWidth="1"/>
    <col min="8407" max="8407" width="8.7109375" style="233"/>
    <col min="8408" max="8408" width="12.42578125" style="233" customWidth="1"/>
    <col min="8409" max="8409" width="8.140625" style="233" customWidth="1"/>
    <col min="8410" max="8410" width="8.7109375" style="233"/>
    <col min="8411" max="8412" width="5.85546875" style="233" customWidth="1"/>
    <col min="8413" max="8413" width="7.5703125" style="233" customWidth="1"/>
    <col min="8414" max="8414" width="6.5703125" style="233" customWidth="1"/>
    <col min="8415" max="8415" width="5.85546875" style="233" customWidth="1"/>
    <col min="8416" max="8416" width="6.5703125" style="233" customWidth="1"/>
    <col min="8417" max="8418" width="7.85546875" style="233" customWidth="1"/>
    <col min="8419" max="8419" width="8.140625" style="233" customWidth="1"/>
    <col min="8420" max="8421" width="6.5703125" style="233" customWidth="1"/>
    <col min="8422" max="8422" width="5.85546875" style="233" customWidth="1"/>
    <col min="8423" max="8423" width="6.5703125" style="233" customWidth="1"/>
    <col min="8424" max="8424" width="7" style="233" customWidth="1"/>
    <col min="8425" max="8425" width="5.85546875" style="233" customWidth="1"/>
    <col min="8426" max="8426" width="10.85546875" style="233" customWidth="1"/>
    <col min="8427" max="8427" width="9" style="233" customWidth="1"/>
    <col min="8428" max="8428" width="8.5703125" style="233" customWidth="1"/>
    <col min="8429" max="8429" width="8" style="233" customWidth="1"/>
    <col min="8430" max="8430" width="8.5703125" style="233" customWidth="1"/>
    <col min="8431" max="8659" width="8.7109375" style="233"/>
    <col min="8660" max="8660" width="4.140625" style="233" bestFit="1" customWidth="1"/>
    <col min="8661" max="8661" width="16.5703125" style="233" customWidth="1"/>
    <col min="8662" max="8662" width="6.5703125" style="233" customWidth="1"/>
    <col min="8663" max="8663" width="8.7109375" style="233"/>
    <col min="8664" max="8664" width="12.42578125" style="233" customWidth="1"/>
    <col min="8665" max="8665" width="8.140625" style="233" customWidth="1"/>
    <col min="8666" max="8666" width="8.7109375" style="233"/>
    <col min="8667" max="8668" width="5.85546875" style="233" customWidth="1"/>
    <col min="8669" max="8669" width="7.5703125" style="233" customWidth="1"/>
    <col min="8670" max="8670" width="6.5703125" style="233" customWidth="1"/>
    <col min="8671" max="8671" width="5.85546875" style="233" customWidth="1"/>
    <col min="8672" max="8672" width="6.5703125" style="233" customWidth="1"/>
    <col min="8673" max="8674" width="7.85546875" style="233" customWidth="1"/>
    <col min="8675" max="8675" width="8.140625" style="233" customWidth="1"/>
    <col min="8676" max="8677" width="6.5703125" style="233" customWidth="1"/>
    <col min="8678" max="8678" width="5.85546875" style="233" customWidth="1"/>
    <col min="8679" max="8679" width="6.5703125" style="233" customWidth="1"/>
    <col min="8680" max="8680" width="7" style="233" customWidth="1"/>
    <col min="8681" max="8681" width="5.85546875" style="233" customWidth="1"/>
    <col min="8682" max="8682" width="10.85546875" style="233" customWidth="1"/>
    <col min="8683" max="8683" width="9" style="233" customWidth="1"/>
    <col min="8684" max="8684" width="8.5703125" style="233" customWidth="1"/>
    <col min="8685" max="8685" width="8" style="233" customWidth="1"/>
    <col min="8686" max="8686" width="8.5703125" style="233" customWidth="1"/>
    <col min="8687" max="8915" width="8.7109375" style="233"/>
    <col min="8916" max="8916" width="4.140625" style="233" bestFit="1" customWidth="1"/>
    <col min="8917" max="8917" width="16.5703125" style="233" customWidth="1"/>
    <col min="8918" max="8918" width="6.5703125" style="233" customWidth="1"/>
    <col min="8919" max="8919" width="8.7109375" style="233"/>
    <col min="8920" max="8920" width="12.42578125" style="233" customWidth="1"/>
    <col min="8921" max="8921" width="8.140625" style="233" customWidth="1"/>
    <col min="8922" max="8922" width="8.7109375" style="233"/>
    <col min="8923" max="8924" width="5.85546875" style="233" customWidth="1"/>
    <col min="8925" max="8925" width="7.5703125" style="233" customWidth="1"/>
    <col min="8926" max="8926" width="6.5703125" style="233" customWidth="1"/>
    <col min="8927" max="8927" width="5.85546875" style="233" customWidth="1"/>
    <col min="8928" max="8928" width="6.5703125" style="233" customWidth="1"/>
    <col min="8929" max="8930" width="7.85546875" style="233" customWidth="1"/>
    <col min="8931" max="8931" width="8.140625" style="233" customWidth="1"/>
    <col min="8932" max="8933" width="6.5703125" style="233" customWidth="1"/>
    <col min="8934" max="8934" width="5.85546875" style="233" customWidth="1"/>
    <col min="8935" max="8935" width="6.5703125" style="233" customWidth="1"/>
    <col min="8936" max="8936" width="7" style="233" customWidth="1"/>
    <col min="8937" max="8937" width="5.85546875" style="233" customWidth="1"/>
    <col min="8938" max="8938" width="10.85546875" style="233" customWidth="1"/>
    <col min="8939" max="8939" width="9" style="233" customWidth="1"/>
    <col min="8940" max="8940" width="8.5703125" style="233" customWidth="1"/>
    <col min="8941" max="8941" width="8" style="233" customWidth="1"/>
    <col min="8942" max="8942" width="8.5703125" style="233" customWidth="1"/>
    <col min="8943" max="9171" width="8.7109375" style="233"/>
    <col min="9172" max="9172" width="4.140625" style="233" bestFit="1" customWidth="1"/>
    <col min="9173" max="9173" width="16.5703125" style="233" customWidth="1"/>
    <col min="9174" max="9174" width="6.5703125" style="233" customWidth="1"/>
    <col min="9175" max="9175" width="8.7109375" style="233"/>
    <col min="9176" max="9176" width="12.42578125" style="233" customWidth="1"/>
    <col min="9177" max="9177" width="8.140625" style="233" customWidth="1"/>
    <col min="9178" max="9178" width="8.7109375" style="233"/>
    <col min="9179" max="9180" width="5.85546875" style="233" customWidth="1"/>
    <col min="9181" max="9181" width="7.5703125" style="233" customWidth="1"/>
    <col min="9182" max="9182" width="6.5703125" style="233" customWidth="1"/>
    <col min="9183" max="9183" width="5.85546875" style="233" customWidth="1"/>
    <col min="9184" max="9184" width="6.5703125" style="233" customWidth="1"/>
    <col min="9185" max="9186" width="7.85546875" style="233" customWidth="1"/>
    <col min="9187" max="9187" width="8.140625" style="233" customWidth="1"/>
    <col min="9188" max="9189" width="6.5703125" style="233" customWidth="1"/>
    <col min="9190" max="9190" width="5.85546875" style="233" customWidth="1"/>
    <col min="9191" max="9191" width="6.5703125" style="233" customWidth="1"/>
    <col min="9192" max="9192" width="7" style="233" customWidth="1"/>
    <col min="9193" max="9193" width="5.85546875" style="233" customWidth="1"/>
    <col min="9194" max="9194" width="10.85546875" style="233" customWidth="1"/>
    <col min="9195" max="9195" width="9" style="233" customWidth="1"/>
    <col min="9196" max="9196" width="8.5703125" style="233" customWidth="1"/>
    <col min="9197" max="9197" width="8" style="233" customWidth="1"/>
    <col min="9198" max="9198" width="8.5703125" style="233" customWidth="1"/>
    <col min="9199" max="9427" width="8.7109375" style="233"/>
    <col min="9428" max="9428" width="4.140625" style="233" bestFit="1" customWidth="1"/>
    <col min="9429" max="9429" width="16.5703125" style="233" customWidth="1"/>
    <col min="9430" max="9430" width="6.5703125" style="233" customWidth="1"/>
    <col min="9431" max="9431" width="8.7109375" style="233"/>
    <col min="9432" max="9432" width="12.42578125" style="233" customWidth="1"/>
    <col min="9433" max="9433" width="8.140625" style="233" customWidth="1"/>
    <col min="9434" max="9434" width="8.7109375" style="233"/>
    <col min="9435" max="9436" width="5.85546875" style="233" customWidth="1"/>
    <col min="9437" max="9437" width="7.5703125" style="233" customWidth="1"/>
    <col min="9438" max="9438" width="6.5703125" style="233" customWidth="1"/>
    <col min="9439" max="9439" width="5.85546875" style="233" customWidth="1"/>
    <col min="9440" max="9440" width="6.5703125" style="233" customWidth="1"/>
    <col min="9441" max="9442" width="7.85546875" style="233" customWidth="1"/>
    <col min="9443" max="9443" width="8.140625" style="233" customWidth="1"/>
    <col min="9444" max="9445" width="6.5703125" style="233" customWidth="1"/>
    <col min="9446" max="9446" width="5.85546875" style="233" customWidth="1"/>
    <col min="9447" max="9447" width="6.5703125" style="233" customWidth="1"/>
    <col min="9448" max="9448" width="7" style="233" customWidth="1"/>
    <col min="9449" max="9449" width="5.85546875" style="233" customWidth="1"/>
    <col min="9450" max="9450" width="10.85546875" style="233" customWidth="1"/>
    <col min="9451" max="9451" width="9" style="233" customWidth="1"/>
    <col min="9452" max="9452" width="8.5703125" style="233" customWidth="1"/>
    <col min="9453" max="9453" width="8" style="233" customWidth="1"/>
    <col min="9454" max="9454" width="8.5703125" style="233" customWidth="1"/>
    <col min="9455" max="9683" width="8.7109375" style="233"/>
    <col min="9684" max="9684" width="4.140625" style="233" bestFit="1" customWidth="1"/>
    <col min="9685" max="9685" width="16.5703125" style="233" customWidth="1"/>
    <col min="9686" max="9686" width="6.5703125" style="233" customWidth="1"/>
    <col min="9687" max="9687" width="8.7109375" style="233"/>
    <col min="9688" max="9688" width="12.42578125" style="233" customWidth="1"/>
    <col min="9689" max="9689" width="8.140625" style="233" customWidth="1"/>
    <col min="9690" max="9690" width="8.7109375" style="233"/>
    <col min="9691" max="9692" width="5.85546875" style="233" customWidth="1"/>
    <col min="9693" max="9693" width="7.5703125" style="233" customWidth="1"/>
    <col min="9694" max="9694" width="6.5703125" style="233" customWidth="1"/>
    <col min="9695" max="9695" width="5.85546875" style="233" customWidth="1"/>
    <col min="9696" max="9696" width="6.5703125" style="233" customWidth="1"/>
    <col min="9697" max="9698" width="7.85546875" style="233" customWidth="1"/>
    <col min="9699" max="9699" width="8.140625" style="233" customWidth="1"/>
    <col min="9700" max="9701" width="6.5703125" style="233" customWidth="1"/>
    <col min="9702" max="9702" width="5.85546875" style="233" customWidth="1"/>
    <col min="9703" max="9703" width="6.5703125" style="233" customWidth="1"/>
    <col min="9704" max="9704" width="7" style="233" customWidth="1"/>
    <col min="9705" max="9705" width="5.85546875" style="233" customWidth="1"/>
    <col min="9706" max="9706" width="10.85546875" style="233" customWidth="1"/>
    <col min="9707" max="9707" width="9" style="233" customWidth="1"/>
    <col min="9708" max="9708" width="8.5703125" style="233" customWidth="1"/>
    <col min="9709" max="9709" width="8" style="233" customWidth="1"/>
    <col min="9710" max="9710" width="8.5703125" style="233" customWidth="1"/>
    <col min="9711" max="9939" width="8.7109375" style="233"/>
    <col min="9940" max="9940" width="4.140625" style="233" bestFit="1" customWidth="1"/>
    <col min="9941" max="9941" width="16.5703125" style="233" customWidth="1"/>
    <col min="9942" max="9942" width="6.5703125" style="233" customWidth="1"/>
    <col min="9943" max="9943" width="8.7109375" style="233"/>
    <col min="9944" max="9944" width="12.42578125" style="233" customWidth="1"/>
    <col min="9945" max="9945" width="8.140625" style="233" customWidth="1"/>
    <col min="9946" max="9946" width="8.7109375" style="233"/>
    <col min="9947" max="9948" width="5.85546875" style="233" customWidth="1"/>
    <col min="9949" max="9949" width="7.5703125" style="233" customWidth="1"/>
    <col min="9950" max="9950" width="6.5703125" style="233" customWidth="1"/>
    <col min="9951" max="9951" width="5.85546875" style="233" customWidth="1"/>
    <col min="9952" max="9952" width="6.5703125" style="233" customWidth="1"/>
    <col min="9953" max="9954" width="7.85546875" style="233" customWidth="1"/>
    <col min="9955" max="9955" width="8.140625" style="233" customWidth="1"/>
    <col min="9956" max="9957" width="6.5703125" style="233" customWidth="1"/>
    <col min="9958" max="9958" width="5.85546875" style="233" customWidth="1"/>
    <col min="9959" max="9959" width="6.5703125" style="233" customWidth="1"/>
    <col min="9960" max="9960" width="7" style="233" customWidth="1"/>
    <col min="9961" max="9961" width="5.85546875" style="233" customWidth="1"/>
    <col min="9962" max="9962" width="10.85546875" style="233" customWidth="1"/>
    <col min="9963" max="9963" width="9" style="233" customWidth="1"/>
    <col min="9964" max="9964" width="8.5703125" style="233" customWidth="1"/>
    <col min="9965" max="9965" width="8" style="233" customWidth="1"/>
    <col min="9966" max="9966" width="8.5703125" style="233" customWidth="1"/>
    <col min="9967" max="10195" width="8.7109375" style="233"/>
    <col min="10196" max="10196" width="4.140625" style="233" bestFit="1" customWidth="1"/>
    <col min="10197" max="10197" width="16.5703125" style="233" customWidth="1"/>
    <col min="10198" max="10198" width="6.5703125" style="233" customWidth="1"/>
    <col min="10199" max="10199" width="8.7109375" style="233"/>
    <col min="10200" max="10200" width="12.42578125" style="233" customWidth="1"/>
    <col min="10201" max="10201" width="8.140625" style="233" customWidth="1"/>
    <col min="10202" max="10202" width="8.7109375" style="233"/>
    <col min="10203" max="10204" width="5.85546875" style="233" customWidth="1"/>
    <col min="10205" max="10205" width="7.5703125" style="233" customWidth="1"/>
    <col min="10206" max="10206" width="6.5703125" style="233" customWidth="1"/>
    <col min="10207" max="10207" width="5.85546875" style="233" customWidth="1"/>
    <col min="10208" max="10208" width="6.5703125" style="233" customWidth="1"/>
    <col min="10209" max="10210" width="7.85546875" style="233" customWidth="1"/>
    <col min="10211" max="10211" width="8.140625" style="233" customWidth="1"/>
    <col min="10212" max="10213" width="6.5703125" style="233" customWidth="1"/>
    <col min="10214" max="10214" width="5.85546875" style="233" customWidth="1"/>
    <col min="10215" max="10215" width="6.5703125" style="233" customWidth="1"/>
    <col min="10216" max="10216" width="7" style="233" customWidth="1"/>
    <col min="10217" max="10217" width="5.85546875" style="233" customWidth="1"/>
    <col min="10218" max="10218" width="10.85546875" style="233" customWidth="1"/>
    <col min="10219" max="10219" width="9" style="233" customWidth="1"/>
    <col min="10220" max="10220" width="8.5703125" style="233" customWidth="1"/>
    <col min="10221" max="10221" width="8" style="233" customWidth="1"/>
    <col min="10222" max="10222" width="8.5703125" style="233" customWidth="1"/>
    <col min="10223" max="10451" width="8.7109375" style="233"/>
    <col min="10452" max="10452" width="4.140625" style="233" bestFit="1" customWidth="1"/>
    <col min="10453" max="10453" width="16.5703125" style="233" customWidth="1"/>
    <col min="10454" max="10454" width="6.5703125" style="233" customWidth="1"/>
    <col min="10455" max="10455" width="8.7109375" style="233"/>
    <col min="10456" max="10456" width="12.42578125" style="233" customWidth="1"/>
    <col min="10457" max="10457" width="8.140625" style="233" customWidth="1"/>
    <col min="10458" max="10458" width="8.7109375" style="233"/>
    <col min="10459" max="10460" width="5.85546875" style="233" customWidth="1"/>
    <col min="10461" max="10461" width="7.5703125" style="233" customWidth="1"/>
    <col min="10462" max="10462" width="6.5703125" style="233" customWidth="1"/>
    <col min="10463" max="10463" width="5.85546875" style="233" customWidth="1"/>
    <col min="10464" max="10464" width="6.5703125" style="233" customWidth="1"/>
    <col min="10465" max="10466" width="7.85546875" style="233" customWidth="1"/>
    <col min="10467" max="10467" width="8.140625" style="233" customWidth="1"/>
    <col min="10468" max="10469" width="6.5703125" style="233" customWidth="1"/>
    <col min="10470" max="10470" width="5.85546875" style="233" customWidth="1"/>
    <col min="10471" max="10471" width="6.5703125" style="233" customWidth="1"/>
    <col min="10472" max="10472" width="7" style="233" customWidth="1"/>
    <col min="10473" max="10473" width="5.85546875" style="233" customWidth="1"/>
    <col min="10474" max="10474" width="10.85546875" style="233" customWidth="1"/>
    <col min="10475" max="10475" width="9" style="233" customWidth="1"/>
    <col min="10476" max="10476" width="8.5703125" style="233" customWidth="1"/>
    <col min="10477" max="10477" width="8" style="233" customWidth="1"/>
    <col min="10478" max="10478" width="8.5703125" style="233" customWidth="1"/>
    <col min="10479" max="10707" width="8.7109375" style="233"/>
    <col min="10708" max="10708" width="4.140625" style="233" bestFit="1" customWidth="1"/>
    <col min="10709" max="10709" width="16.5703125" style="233" customWidth="1"/>
    <col min="10710" max="10710" width="6.5703125" style="233" customWidth="1"/>
    <col min="10711" max="10711" width="8.7109375" style="233"/>
    <col min="10712" max="10712" width="12.42578125" style="233" customWidth="1"/>
    <col min="10713" max="10713" width="8.140625" style="233" customWidth="1"/>
    <col min="10714" max="10714" width="8.7109375" style="233"/>
    <col min="10715" max="10716" width="5.85546875" style="233" customWidth="1"/>
    <col min="10717" max="10717" width="7.5703125" style="233" customWidth="1"/>
    <col min="10718" max="10718" width="6.5703125" style="233" customWidth="1"/>
    <col min="10719" max="10719" width="5.85546875" style="233" customWidth="1"/>
    <col min="10720" max="10720" width="6.5703125" style="233" customWidth="1"/>
    <col min="10721" max="10722" width="7.85546875" style="233" customWidth="1"/>
    <col min="10723" max="10723" width="8.140625" style="233" customWidth="1"/>
    <col min="10724" max="10725" width="6.5703125" style="233" customWidth="1"/>
    <col min="10726" max="10726" width="5.85546875" style="233" customWidth="1"/>
    <col min="10727" max="10727" width="6.5703125" style="233" customWidth="1"/>
    <col min="10728" max="10728" width="7" style="233" customWidth="1"/>
    <col min="10729" max="10729" width="5.85546875" style="233" customWidth="1"/>
    <col min="10730" max="10730" width="10.85546875" style="233" customWidth="1"/>
    <col min="10731" max="10731" width="9" style="233" customWidth="1"/>
    <col min="10732" max="10732" width="8.5703125" style="233" customWidth="1"/>
    <col min="10733" max="10733" width="8" style="233" customWidth="1"/>
    <col min="10734" max="10734" width="8.5703125" style="233" customWidth="1"/>
    <col min="10735" max="10963" width="8.7109375" style="233"/>
    <col min="10964" max="10964" width="4.140625" style="233" bestFit="1" customWidth="1"/>
    <col min="10965" max="10965" width="16.5703125" style="233" customWidth="1"/>
    <col min="10966" max="10966" width="6.5703125" style="233" customWidth="1"/>
    <col min="10967" max="10967" width="8.7109375" style="233"/>
    <col min="10968" max="10968" width="12.42578125" style="233" customWidth="1"/>
    <col min="10969" max="10969" width="8.140625" style="233" customWidth="1"/>
    <col min="10970" max="10970" width="8.7109375" style="233"/>
    <col min="10971" max="10972" width="5.85546875" style="233" customWidth="1"/>
    <col min="10973" max="10973" width="7.5703125" style="233" customWidth="1"/>
    <col min="10974" max="10974" width="6.5703125" style="233" customWidth="1"/>
    <col min="10975" max="10975" width="5.85546875" style="233" customWidth="1"/>
    <col min="10976" max="10976" width="6.5703125" style="233" customWidth="1"/>
    <col min="10977" max="10978" width="7.85546875" style="233" customWidth="1"/>
    <col min="10979" max="10979" width="8.140625" style="233" customWidth="1"/>
    <col min="10980" max="10981" width="6.5703125" style="233" customWidth="1"/>
    <col min="10982" max="10982" width="5.85546875" style="233" customWidth="1"/>
    <col min="10983" max="10983" width="6.5703125" style="233" customWidth="1"/>
    <col min="10984" max="10984" width="7" style="233" customWidth="1"/>
    <col min="10985" max="10985" width="5.85546875" style="233" customWidth="1"/>
    <col min="10986" max="10986" width="10.85546875" style="233" customWidth="1"/>
    <col min="10987" max="10987" width="9" style="233" customWidth="1"/>
    <col min="10988" max="10988" width="8.5703125" style="233" customWidth="1"/>
    <col min="10989" max="10989" width="8" style="233" customWidth="1"/>
    <col min="10990" max="10990" width="8.5703125" style="233" customWidth="1"/>
    <col min="10991" max="11219" width="8.7109375" style="233"/>
    <col min="11220" max="11220" width="4.140625" style="233" bestFit="1" customWidth="1"/>
    <col min="11221" max="11221" width="16.5703125" style="233" customWidth="1"/>
    <col min="11222" max="11222" width="6.5703125" style="233" customWidth="1"/>
    <col min="11223" max="11223" width="8.7109375" style="233"/>
    <col min="11224" max="11224" width="12.42578125" style="233" customWidth="1"/>
    <col min="11225" max="11225" width="8.140625" style="233" customWidth="1"/>
    <col min="11226" max="11226" width="8.7109375" style="233"/>
    <col min="11227" max="11228" width="5.85546875" style="233" customWidth="1"/>
    <col min="11229" max="11229" width="7.5703125" style="233" customWidth="1"/>
    <col min="11230" max="11230" width="6.5703125" style="233" customWidth="1"/>
    <col min="11231" max="11231" width="5.85546875" style="233" customWidth="1"/>
    <col min="11232" max="11232" width="6.5703125" style="233" customWidth="1"/>
    <col min="11233" max="11234" width="7.85546875" style="233" customWidth="1"/>
    <col min="11235" max="11235" width="8.140625" style="233" customWidth="1"/>
    <col min="11236" max="11237" width="6.5703125" style="233" customWidth="1"/>
    <col min="11238" max="11238" width="5.85546875" style="233" customWidth="1"/>
    <col min="11239" max="11239" width="6.5703125" style="233" customWidth="1"/>
    <col min="11240" max="11240" width="7" style="233" customWidth="1"/>
    <col min="11241" max="11241" width="5.85546875" style="233" customWidth="1"/>
    <col min="11242" max="11242" width="10.85546875" style="233" customWidth="1"/>
    <col min="11243" max="11243" width="9" style="233" customWidth="1"/>
    <col min="11244" max="11244" width="8.5703125" style="233" customWidth="1"/>
    <col min="11245" max="11245" width="8" style="233" customWidth="1"/>
    <col min="11246" max="11246" width="8.5703125" style="233" customWidth="1"/>
    <col min="11247" max="11475" width="8.7109375" style="233"/>
    <col min="11476" max="11476" width="4.140625" style="233" bestFit="1" customWidth="1"/>
    <col min="11477" max="11477" width="16.5703125" style="233" customWidth="1"/>
    <col min="11478" max="11478" width="6.5703125" style="233" customWidth="1"/>
    <col min="11479" max="11479" width="8.7109375" style="233"/>
    <col min="11480" max="11480" width="12.42578125" style="233" customWidth="1"/>
    <col min="11481" max="11481" width="8.140625" style="233" customWidth="1"/>
    <col min="11482" max="11482" width="8.7109375" style="233"/>
    <col min="11483" max="11484" width="5.85546875" style="233" customWidth="1"/>
    <col min="11485" max="11485" width="7.5703125" style="233" customWidth="1"/>
    <col min="11486" max="11486" width="6.5703125" style="233" customWidth="1"/>
    <col min="11487" max="11487" width="5.85546875" style="233" customWidth="1"/>
    <col min="11488" max="11488" width="6.5703125" style="233" customWidth="1"/>
    <col min="11489" max="11490" width="7.85546875" style="233" customWidth="1"/>
    <col min="11491" max="11491" width="8.140625" style="233" customWidth="1"/>
    <col min="11492" max="11493" width="6.5703125" style="233" customWidth="1"/>
    <col min="11494" max="11494" width="5.85546875" style="233" customWidth="1"/>
    <col min="11495" max="11495" width="6.5703125" style="233" customWidth="1"/>
    <col min="11496" max="11496" width="7" style="233" customWidth="1"/>
    <col min="11497" max="11497" width="5.85546875" style="233" customWidth="1"/>
    <col min="11498" max="11498" width="10.85546875" style="233" customWidth="1"/>
    <col min="11499" max="11499" width="9" style="233" customWidth="1"/>
    <col min="11500" max="11500" width="8.5703125" style="233" customWidth="1"/>
    <col min="11501" max="11501" width="8" style="233" customWidth="1"/>
    <col min="11502" max="11502" width="8.5703125" style="233" customWidth="1"/>
    <col min="11503" max="11731" width="8.7109375" style="233"/>
    <col min="11732" max="11732" width="4.140625" style="233" bestFit="1" customWidth="1"/>
    <col min="11733" max="11733" width="16.5703125" style="233" customWidth="1"/>
    <col min="11734" max="11734" width="6.5703125" style="233" customWidth="1"/>
    <col min="11735" max="11735" width="8.7109375" style="233"/>
    <col min="11736" max="11736" width="12.42578125" style="233" customWidth="1"/>
    <col min="11737" max="11737" width="8.140625" style="233" customWidth="1"/>
    <col min="11738" max="11738" width="8.7109375" style="233"/>
    <col min="11739" max="11740" width="5.85546875" style="233" customWidth="1"/>
    <col min="11741" max="11741" width="7.5703125" style="233" customWidth="1"/>
    <col min="11742" max="11742" width="6.5703125" style="233" customWidth="1"/>
    <col min="11743" max="11743" width="5.85546875" style="233" customWidth="1"/>
    <col min="11744" max="11744" width="6.5703125" style="233" customWidth="1"/>
    <col min="11745" max="11746" width="7.85546875" style="233" customWidth="1"/>
    <col min="11747" max="11747" width="8.140625" style="233" customWidth="1"/>
    <col min="11748" max="11749" width="6.5703125" style="233" customWidth="1"/>
    <col min="11750" max="11750" width="5.85546875" style="233" customWidth="1"/>
    <col min="11751" max="11751" width="6.5703125" style="233" customWidth="1"/>
    <col min="11752" max="11752" width="7" style="233" customWidth="1"/>
    <col min="11753" max="11753" width="5.85546875" style="233" customWidth="1"/>
    <col min="11754" max="11754" width="10.85546875" style="233" customWidth="1"/>
    <col min="11755" max="11755" width="9" style="233" customWidth="1"/>
    <col min="11756" max="11756" width="8.5703125" style="233" customWidth="1"/>
    <col min="11757" max="11757" width="8" style="233" customWidth="1"/>
    <col min="11758" max="11758" width="8.5703125" style="233" customWidth="1"/>
    <col min="11759" max="11987" width="8.7109375" style="233"/>
    <col min="11988" max="11988" width="4.140625" style="233" bestFit="1" customWidth="1"/>
    <col min="11989" max="11989" width="16.5703125" style="233" customWidth="1"/>
    <col min="11990" max="11990" width="6.5703125" style="233" customWidth="1"/>
    <col min="11991" max="11991" width="8.7109375" style="233"/>
    <col min="11992" max="11992" width="12.42578125" style="233" customWidth="1"/>
    <col min="11993" max="11993" width="8.140625" style="233" customWidth="1"/>
    <col min="11994" max="11994" width="8.7109375" style="233"/>
    <col min="11995" max="11996" width="5.85546875" style="233" customWidth="1"/>
    <col min="11997" max="11997" width="7.5703125" style="233" customWidth="1"/>
    <col min="11998" max="11998" width="6.5703125" style="233" customWidth="1"/>
    <col min="11999" max="11999" width="5.85546875" style="233" customWidth="1"/>
    <col min="12000" max="12000" width="6.5703125" style="233" customWidth="1"/>
    <col min="12001" max="12002" width="7.85546875" style="233" customWidth="1"/>
    <col min="12003" max="12003" width="8.140625" style="233" customWidth="1"/>
    <col min="12004" max="12005" width="6.5703125" style="233" customWidth="1"/>
    <col min="12006" max="12006" width="5.85546875" style="233" customWidth="1"/>
    <col min="12007" max="12007" width="6.5703125" style="233" customWidth="1"/>
    <col min="12008" max="12008" width="7" style="233" customWidth="1"/>
    <col min="12009" max="12009" width="5.85546875" style="233" customWidth="1"/>
    <col min="12010" max="12010" width="10.85546875" style="233" customWidth="1"/>
    <col min="12011" max="12011" width="9" style="233" customWidth="1"/>
    <col min="12012" max="12012" width="8.5703125" style="233" customWidth="1"/>
    <col min="12013" max="12013" width="8" style="233" customWidth="1"/>
    <col min="12014" max="12014" width="8.5703125" style="233" customWidth="1"/>
    <col min="12015" max="12243" width="8.7109375" style="233"/>
    <col min="12244" max="12244" width="4.140625" style="233" bestFit="1" customWidth="1"/>
    <col min="12245" max="12245" width="16.5703125" style="233" customWidth="1"/>
    <col min="12246" max="12246" width="6.5703125" style="233" customWidth="1"/>
    <col min="12247" max="12247" width="8.7109375" style="233"/>
    <col min="12248" max="12248" width="12.42578125" style="233" customWidth="1"/>
    <col min="12249" max="12249" width="8.140625" style="233" customWidth="1"/>
    <col min="12250" max="12250" width="8.7109375" style="233"/>
    <col min="12251" max="12252" width="5.85546875" style="233" customWidth="1"/>
    <col min="12253" max="12253" width="7.5703125" style="233" customWidth="1"/>
    <col min="12254" max="12254" width="6.5703125" style="233" customWidth="1"/>
    <col min="12255" max="12255" width="5.85546875" style="233" customWidth="1"/>
    <col min="12256" max="12256" width="6.5703125" style="233" customWidth="1"/>
    <col min="12257" max="12258" width="7.85546875" style="233" customWidth="1"/>
    <col min="12259" max="12259" width="8.140625" style="233" customWidth="1"/>
    <col min="12260" max="12261" width="6.5703125" style="233" customWidth="1"/>
    <col min="12262" max="12262" width="5.85546875" style="233" customWidth="1"/>
    <col min="12263" max="12263" width="6.5703125" style="233" customWidth="1"/>
    <col min="12264" max="12264" width="7" style="233" customWidth="1"/>
    <col min="12265" max="12265" width="5.85546875" style="233" customWidth="1"/>
    <col min="12266" max="12266" width="10.85546875" style="233" customWidth="1"/>
    <col min="12267" max="12267" width="9" style="233" customWidth="1"/>
    <col min="12268" max="12268" width="8.5703125" style="233" customWidth="1"/>
    <col min="12269" max="12269" width="8" style="233" customWidth="1"/>
    <col min="12270" max="12270" width="8.5703125" style="233" customWidth="1"/>
    <col min="12271" max="12499" width="8.7109375" style="233"/>
    <col min="12500" max="12500" width="4.140625" style="233" bestFit="1" customWidth="1"/>
    <col min="12501" max="12501" width="16.5703125" style="233" customWidth="1"/>
    <col min="12502" max="12502" width="6.5703125" style="233" customWidth="1"/>
    <col min="12503" max="12503" width="8.7109375" style="233"/>
    <col min="12504" max="12504" width="12.42578125" style="233" customWidth="1"/>
    <col min="12505" max="12505" width="8.140625" style="233" customWidth="1"/>
    <col min="12506" max="12506" width="8.7109375" style="233"/>
    <col min="12507" max="12508" width="5.85546875" style="233" customWidth="1"/>
    <col min="12509" max="12509" width="7.5703125" style="233" customWidth="1"/>
    <col min="12510" max="12510" width="6.5703125" style="233" customWidth="1"/>
    <col min="12511" max="12511" width="5.85546875" style="233" customWidth="1"/>
    <col min="12512" max="12512" width="6.5703125" style="233" customWidth="1"/>
    <col min="12513" max="12514" width="7.85546875" style="233" customWidth="1"/>
    <col min="12515" max="12515" width="8.140625" style="233" customWidth="1"/>
    <col min="12516" max="12517" width="6.5703125" style="233" customWidth="1"/>
    <col min="12518" max="12518" width="5.85546875" style="233" customWidth="1"/>
    <col min="12519" max="12519" width="6.5703125" style="233" customWidth="1"/>
    <col min="12520" max="12520" width="7" style="233" customWidth="1"/>
    <col min="12521" max="12521" width="5.85546875" style="233" customWidth="1"/>
    <col min="12522" max="12522" width="10.85546875" style="233" customWidth="1"/>
    <col min="12523" max="12523" width="9" style="233" customWidth="1"/>
    <col min="12524" max="12524" width="8.5703125" style="233" customWidth="1"/>
    <col min="12525" max="12525" width="8" style="233" customWidth="1"/>
    <col min="12526" max="12526" width="8.5703125" style="233" customWidth="1"/>
    <col min="12527" max="12755" width="8.7109375" style="233"/>
    <col min="12756" max="12756" width="4.140625" style="233" bestFit="1" customWidth="1"/>
    <col min="12757" max="12757" width="16.5703125" style="233" customWidth="1"/>
    <col min="12758" max="12758" width="6.5703125" style="233" customWidth="1"/>
    <col min="12759" max="12759" width="8.7109375" style="233"/>
    <col min="12760" max="12760" width="12.42578125" style="233" customWidth="1"/>
    <col min="12761" max="12761" width="8.140625" style="233" customWidth="1"/>
    <col min="12762" max="12762" width="8.7109375" style="233"/>
    <col min="12763" max="12764" width="5.85546875" style="233" customWidth="1"/>
    <col min="12765" max="12765" width="7.5703125" style="233" customWidth="1"/>
    <col min="12766" max="12766" width="6.5703125" style="233" customWidth="1"/>
    <col min="12767" max="12767" width="5.85546875" style="233" customWidth="1"/>
    <col min="12768" max="12768" width="6.5703125" style="233" customWidth="1"/>
    <col min="12769" max="12770" width="7.85546875" style="233" customWidth="1"/>
    <col min="12771" max="12771" width="8.140625" style="233" customWidth="1"/>
    <col min="12772" max="12773" width="6.5703125" style="233" customWidth="1"/>
    <col min="12774" max="12774" width="5.85546875" style="233" customWidth="1"/>
    <col min="12775" max="12775" width="6.5703125" style="233" customWidth="1"/>
    <col min="12776" max="12776" width="7" style="233" customWidth="1"/>
    <col min="12777" max="12777" width="5.85546875" style="233" customWidth="1"/>
    <col min="12778" max="12778" width="10.85546875" style="233" customWidth="1"/>
    <col min="12779" max="12779" width="9" style="233" customWidth="1"/>
    <col min="12780" max="12780" width="8.5703125" style="233" customWidth="1"/>
    <col min="12781" max="12781" width="8" style="233" customWidth="1"/>
    <col min="12782" max="12782" width="8.5703125" style="233" customWidth="1"/>
    <col min="12783" max="13011" width="8.7109375" style="233"/>
    <col min="13012" max="13012" width="4.140625" style="233" bestFit="1" customWidth="1"/>
    <col min="13013" max="13013" width="16.5703125" style="233" customWidth="1"/>
    <col min="13014" max="13014" width="6.5703125" style="233" customWidth="1"/>
    <col min="13015" max="13015" width="8.7109375" style="233"/>
    <col min="13016" max="13016" width="12.42578125" style="233" customWidth="1"/>
    <col min="13017" max="13017" width="8.140625" style="233" customWidth="1"/>
    <col min="13018" max="13018" width="8.7109375" style="233"/>
    <col min="13019" max="13020" width="5.85546875" style="233" customWidth="1"/>
    <col min="13021" max="13021" width="7.5703125" style="233" customWidth="1"/>
    <col min="13022" max="13022" width="6.5703125" style="233" customWidth="1"/>
    <col min="13023" max="13023" width="5.85546875" style="233" customWidth="1"/>
    <col min="13024" max="13024" width="6.5703125" style="233" customWidth="1"/>
    <col min="13025" max="13026" width="7.85546875" style="233" customWidth="1"/>
    <col min="13027" max="13027" width="8.140625" style="233" customWidth="1"/>
    <col min="13028" max="13029" width="6.5703125" style="233" customWidth="1"/>
    <col min="13030" max="13030" width="5.85546875" style="233" customWidth="1"/>
    <col min="13031" max="13031" width="6.5703125" style="233" customWidth="1"/>
    <col min="13032" max="13032" width="7" style="233" customWidth="1"/>
    <col min="13033" max="13033" width="5.85546875" style="233" customWidth="1"/>
    <col min="13034" max="13034" width="10.85546875" style="233" customWidth="1"/>
    <col min="13035" max="13035" width="9" style="233" customWidth="1"/>
    <col min="13036" max="13036" width="8.5703125" style="233" customWidth="1"/>
    <col min="13037" max="13037" width="8" style="233" customWidth="1"/>
    <col min="13038" max="13038" width="8.5703125" style="233" customWidth="1"/>
    <col min="13039" max="13267" width="8.7109375" style="233"/>
    <col min="13268" max="13268" width="4.140625" style="233" bestFit="1" customWidth="1"/>
    <col min="13269" max="13269" width="16.5703125" style="233" customWidth="1"/>
    <col min="13270" max="13270" width="6.5703125" style="233" customWidth="1"/>
    <col min="13271" max="13271" width="8.7109375" style="233"/>
    <col min="13272" max="13272" width="12.42578125" style="233" customWidth="1"/>
    <col min="13273" max="13273" width="8.140625" style="233" customWidth="1"/>
    <col min="13274" max="13274" width="8.7109375" style="233"/>
    <col min="13275" max="13276" width="5.85546875" style="233" customWidth="1"/>
    <col min="13277" max="13277" width="7.5703125" style="233" customWidth="1"/>
    <col min="13278" max="13278" width="6.5703125" style="233" customWidth="1"/>
    <col min="13279" max="13279" width="5.85546875" style="233" customWidth="1"/>
    <col min="13280" max="13280" width="6.5703125" style="233" customWidth="1"/>
    <col min="13281" max="13282" width="7.85546875" style="233" customWidth="1"/>
    <col min="13283" max="13283" width="8.140625" style="233" customWidth="1"/>
    <col min="13284" max="13285" width="6.5703125" style="233" customWidth="1"/>
    <col min="13286" max="13286" width="5.85546875" style="233" customWidth="1"/>
    <col min="13287" max="13287" width="6.5703125" style="233" customWidth="1"/>
    <col min="13288" max="13288" width="7" style="233" customWidth="1"/>
    <col min="13289" max="13289" width="5.85546875" style="233" customWidth="1"/>
    <col min="13290" max="13290" width="10.85546875" style="233" customWidth="1"/>
    <col min="13291" max="13291" width="9" style="233" customWidth="1"/>
    <col min="13292" max="13292" width="8.5703125" style="233" customWidth="1"/>
    <col min="13293" max="13293" width="8" style="233" customWidth="1"/>
    <col min="13294" max="13294" width="8.5703125" style="233" customWidth="1"/>
    <col min="13295" max="13523" width="8.7109375" style="233"/>
    <col min="13524" max="13524" width="4.140625" style="233" bestFit="1" customWidth="1"/>
    <col min="13525" max="13525" width="16.5703125" style="233" customWidth="1"/>
    <col min="13526" max="13526" width="6.5703125" style="233" customWidth="1"/>
    <col min="13527" max="13527" width="8.7109375" style="233"/>
    <col min="13528" max="13528" width="12.42578125" style="233" customWidth="1"/>
    <col min="13529" max="13529" width="8.140625" style="233" customWidth="1"/>
    <col min="13530" max="13530" width="8.7109375" style="233"/>
    <col min="13531" max="13532" width="5.85546875" style="233" customWidth="1"/>
    <col min="13533" max="13533" width="7.5703125" style="233" customWidth="1"/>
    <col min="13534" max="13534" width="6.5703125" style="233" customWidth="1"/>
    <col min="13535" max="13535" width="5.85546875" style="233" customWidth="1"/>
    <col min="13536" max="13536" width="6.5703125" style="233" customWidth="1"/>
    <col min="13537" max="13538" width="7.85546875" style="233" customWidth="1"/>
    <col min="13539" max="13539" width="8.140625" style="233" customWidth="1"/>
    <col min="13540" max="13541" width="6.5703125" style="233" customWidth="1"/>
    <col min="13542" max="13542" width="5.85546875" style="233" customWidth="1"/>
    <col min="13543" max="13543" width="6.5703125" style="233" customWidth="1"/>
    <col min="13544" max="13544" width="7" style="233" customWidth="1"/>
    <col min="13545" max="13545" width="5.85546875" style="233" customWidth="1"/>
    <col min="13546" max="13546" width="10.85546875" style="233" customWidth="1"/>
    <col min="13547" max="13547" width="9" style="233" customWidth="1"/>
    <col min="13548" max="13548" width="8.5703125" style="233" customWidth="1"/>
    <col min="13549" max="13549" width="8" style="233" customWidth="1"/>
    <col min="13550" max="13550" width="8.5703125" style="233" customWidth="1"/>
    <col min="13551" max="13779" width="8.7109375" style="233"/>
    <col min="13780" max="13780" width="4.140625" style="233" bestFit="1" customWidth="1"/>
    <col min="13781" max="13781" width="16.5703125" style="233" customWidth="1"/>
    <col min="13782" max="13782" width="6.5703125" style="233" customWidth="1"/>
    <col min="13783" max="13783" width="8.7109375" style="233"/>
    <col min="13784" max="13784" width="12.42578125" style="233" customWidth="1"/>
    <col min="13785" max="13785" width="8.140625" style="233" customWidth="1"/>
    <col min="13786" max="13786" width="8.7109375" style="233"/>
    <col min="13787" max="13788" width="5.85546875" style="233" customWidth="1"/>
    <col min="13789" max="13789" width="7.5703125" style="233" customWidth="1"/>
    <col min="13790" max="13790" width="6.5703125" style="233" customWidth="1"/>
    <col min="13791" max="13791" width="5.85546875" style="233" customWidth="1"/>
    <col min="13792" max="13792" width="6.5703125" style="233" customWidth="1"/>
    <col min="13793" max="13794" width="7.85546875" style="233" customWidth="1"/>
    <col min="13795" max="13795" width="8.140625" style="233" customWidth="1"/>
    <col min="13796" max="13797" width="6.5703125" style="233" customWidth="1"/>
    <col min="13798" max="13798" width="5.85546875" style="233" customWidth="1"/>
    <col min="13799" max="13799" width="6.5703125" style="233" customWidth="1"/>
    <col min="13800" max="13800" width="7" style="233" customWidth="1"/>
    <col min="13801" max="13801" width="5.85546875" style="233" customWidth="1"/>
    <col min="13802" max="13802" width="10.85546875" style="233" customWidth="1"/>
    <col min="13803" max="13803" width="9" style="233" customWidth="1"/>
    <col min="13804" max="13804" width="8.5703125" style="233" customWidth="1"/>
    <col min="13805" max="13805" width="8" style="233" customWidth="1"/>
    <col min="13806" max="13806" width="8.5703125" style="233" customWidth="1"/>
    <col min="13807" max="14035" width="8.7109375" style="233"/>
    <col min="14036" max="14036" width="4.140625" style="233" bestFit="1" customWidth="1"/>
    <col min="14037" max="14037" width="16.5703125" style="233" customWidth="1"/>
    <col min="14038" max="14038" width="6.5703125" style="233" customWidth="1"/>
    <col min="14039" max="14039" width="8.7109375" style="233"/>
    <col min="14040" max="14040" width="12.42578125" style="233" customWidth="1"/>
    <col min="14041" max="14041" width="8.140625" style="233" customWidth="1"/>
    <col min="14042" max="14042" width="8.7109375" style="233"/>
    <col min="14043" max="14044" width="5.85546875" style="233" customWidth="1"/>
    <col min="14045" max="14045" width="7.5703125" style="233" customWidth="1"/>
    <col min="14046" max="14046" width="6.5703125" style="233" customWidth="1"/>
    <col min="14047" max="14047" width="5.85546875" style="233" customWidth="1"/>
    <col min="14048" max="14048" width="6.5703125" style="233" customWidth="1"/>
    <col min="14049" max="14050" width="7.85546875" style="233" customWidth="1"/>
    <col min="14051" max="14051" width="8.140625" style="233" customWidth="1"/>
    <col min="14052" max="14053" width="6.5703125" style="233" customWidth="1"/>
    <col min="14054" max="14054" width="5.85546875" style="233" customWidth="1"/>
    <col min="14055" max="14055" width="6.5703125" style="233" customWidth="1"/>
    <col min="14056" max="14056" width="7" style="233" customWidth="1"/>
    <col min="14057" max="14057" width="5.85546875" style="233" customWidth="1"/>
    <col min="14058" max="14058" width="10.85546875" style="233" customWidth="1"/>
    <col min="14059" max="14059" width="9" style="233" customWidth="1"/>
    <col min="14060" max="14060" width="8.5703125" style="233" customWidth="1"/>
    <col min="14061" max="14061" width="8" style="233" customWidth="1"/>
    <col min="14062" max="14062" width="8.5703125" style="233" customWidth="1"/>
    <col min="14063" max="14291" width="8.7109375" style="233"/>
    <col min="14292" max="14292" width="4.140625" style="233" bestFit="1" customWidth="1"/>
    <col min="14293" max="14293" width="16.5703125" style="233" customWidth="1"/>
    <col min="14294" max="14294" width="6.5703125" style="233" customWidth="1"/>
    <col min="14295" max="14295" width="8.7109375" style="233"/>
    <col min="14296" max="14296" width="12.42578125" style="233" customWidth="1"/>
    <col min="14297" max="14297" width="8.140625" style="233" customWidth="1"/>
    <col min="14298" max="14298" width="8.7109375" style="233"/>
    <col min="14299" max="14300" width="5.85546875" style="233" customWidth="1"/>
    <col min="14301" max="14301" width="7.5703125" style="233" customWidth="1"/>
    <col min="14302" max="14302" width="6.5703125" style="233" customWidth="1"/>
    <col min="14303" max="14303" width="5.85546875" style="233" customWidth="1"/>
    <col min="14304" max="14304" width="6.5703125" style="233" customWidth="1"/>
    <col min="14305" max="14306" width="7.85546875" style="233" customWidth="1"/>
    <col min="14307" max="14307" width="8.140625" style="233" customWidth="1"/>
    <col min="14308" max="14309" width="6.5703125" style="233" customWidth="1"/>
    <col min="14310" max="14310" width="5.85546875" style="233" customWidth="1"/>
    <col min="14311" max="14311" width="6.5703125" style="233" customWidth="1"/>
    <col min="14312" max="14312" width="7" style="233" customWidth="1"/>
    <col min="14313" max="14313" width="5.85546875" style="233" customWidth="1"/>
    <col min="14314" max="14314" width="10.85546875" style="233" customWidth="1"/>
    <col min="14315" max="14315" width="9" style="233" customWidth="1"/>
    <col min="14316" max="14316" width="8.5703125" style="233" customWidth="1"/>
    <col min="14317" max="14317" width="8" style="233" customWidth="1"/>
    <col min="14318" max="14318" width="8.5703125" style="233" customWidth="1"/>
    <col min="14319" max="14547" width="8.7109375" style="233"/>
    <col min="14548" max="14548" width="4.140625" style="233" bestFit="1" customWidth="1"/>
    <col min="14549" max="14549" width="16.5703125" style="233" customWidth="1"/>
    <col min="14550" max="14550" width="6.5703125" style="233" customWidth="1"/>
    <col min="14551" max="14551" width="8.7109375" style="233"/>
    <col min="14552" max="14552" width="12.42578125" style="233" customWidth="1"/>
    <col min="14553" max="14553" width="8.140625" style="233" customWidth="1"/>
    <col min="14554" max="14554" width="8.7109375" style="233"/>
    <col min="14555" max="14556" width="5.85546875" style="233" customWidth="1"/>
    <col min="14557" max="14557" width="7.5703125" style="233" customWidth="1"/>
    <col min="14558" max="14558" width="6.5703125" style="233" customWidth="1"/>
    <col min="14559" max="14559" width="5.85546875" style="233" customWidth="1"/>
    <col min="14560" max="14560" width="6.5703125" style="233" customWidth="1"/>
    <col min="14561" max="14562" width="7.85546875" style="233" customWidth="1"/>
    <col min="14563" max="14563" width="8.140625" style="233" customWidth="1"/>
    <col min="14564" max="14565" width="6.5703125" style="233" customWidth="1"/>
    <col min="14566" max="14566" width="5.85546875" style="233" customWidth="1"/>
    <col min="14567" max="14567" width="6.5703125" style="233" customWidth="1"/>
    <col min="14568" max="14568" width="7" style="233" customWidth="1"/>
    <col min="14569" max="14569" width="5.85546875" style="233" customWidth="1"/>
    <col min="14570" max="14570" width="10.85546875" style="233" customWidth="1"/>
    <col min="14571" max="14571" width="9" style="233" customWidth="1"/>
    <col min="14572" max="14572" width="8.5703125" style="233" customWidth="1"/>
    <col min="14573" max="14573" width="8" style="233" customWidth="1"/>
    <col min="14574" max="14574" width="8.5703125" style="233" customWidth="1"/>
    <col min="14575" max="14803" width="8.7109375" style="233"/>
    <col min="14804" max="14804" width="4.140625" style="233" bestFit="1" customWidth="1"/>
    <col min="14805" max="14805" width="16.5703125" style="233" customWidth="1"/>
    <col min="14806" max="14806" width="6.5703125" style="233" customWidth="1"/>
    <col min="14807" max="14807" width="8.7109375" style="233"/>
    <col min="14808" max="14808" width="12.42578125" style="233" customWidth="1"/>
    <col min="14809" max="14809" width="8.140625" style="233" customWidth="1"/>
    <col min="14810" max="14810" width="8.7109375" style="233"/>
    <col min="14811" max="14812" width="5.85546875" style="233" customWidth="1"/>
    <col min="14813" max="14813" width="7.5703125" style="233" customWidth="1"/>
    <col min="14814" max="14814" width="6.5703125" style="233" customWidth="1"/>
    <col min="14815" max="14815" width="5.85546875" style="233" customWidth="1"/>
    <col min="14816" max="14816" width="6.5703125" style="233" customWidth="1"/>
    <col min="14817" max="14818" width="7.85546875" style="233" customWidth="1"/>
    <col min="14819" max="14819" width="8.140625" style="233" customWidth="1"/>
    <col min="14820" max="14821" width="6.5703125" style="233" customWidth="1"/>
    <col min="14822" max="14822" width="5.85546875" style="233" customWidth="1"/>
    <col min="14823" max="14823" width="6.5703125" style="233" customWidth="1"/>
    <col min="14824" max="14824" width="7" style="233" customWidth="1"/>
    <col min="14825" max="14825" width="5.85546875" style="233" customWidth="1"/>
    <col min="14826" max="14826" width="10.85546875" style="233" customWidth="1"/>
    <col min="14827" max="14827" width="9" style="233" customWidth="1"/>
    <col min="14828" max="14828" width="8.5703125" style="233" customWidth="1"/>
    <col min="14829" max="14829" width="8" style="233" customWidth="1"/>
    <col min="14830" max="14830" width="8.5703125" style="233" customWidth="1"/>
    <col min="14831" max="15059" width="8.7109375" style="233"/>
    <col min="15060" max="15060" width="4.140625" style="233" bestFit="1" customWidth="1"/>
    <col min="15061" max="15061" width="16.5703125" style="233" customWidth="1"/>
    <col min="15062" max="15062" width="6.5703125" style="233" customWidth="1"/>
    <col min="15063" max="15063" width="8.7109375" style="233"/>
    <col min="15064" max="15064" width="12.42578125" style="233" customWidth="1"/>
    <col min="15065" max="15065" width="8.140625" style="233" customWidth="1"/>
    <col min="15066" max="15066" width="8.7109375" style="233"/>
    <col min="15067" max="15068" width="5.85546875" style="233" customWidth="1"/>
    <col min="15069" max="15069" width="7.5703125" style="233" customWidth="1"/>
    <col min="15070" max="15070" width="6.5703125" style="233" customWidth="1"/>
    <col min="15071" max="15071" width="5.85546875" style="233" customWidth="1"/>
    <col min="15072" max="15072" width="6.5703125" style="233" customWidth="1"/>
    <col min="15073" max="15074" width="7.85546875" style="233" customWidth="1"/>
    <col min="15075" max="15075" width="8.140625" style="233" customWidth="1"/>
    <col min="15076" max="15077" width="6.5703125" style="233" customWidth="1"/>
    <col min="15078" max="15078" width="5.85546875" style="233" customWidth="1"/>
    <col min="15079" max="15079" width="6.5703125" style="233" customWidth="1"/>
    <col min="15080" max="15080" width="7" style="233" customWidth="1"/>
    <col min="15081" max="15081" width="5.85546875" style="233" customWidth="1"/>
    <col min="15082" max="15082" width="10.85546875" style="233" customWidth="1"/>
    <col min="15083" max="15083" width="9" style="233" customWidth="1"/>
    <col min="15084" max="15084" width="8.5703125" style="233" customWidth="1"/>
    <col min="15085" max="15085" width="8" style="233" customWidth="1"/>
    <col min="15086" max="15086" width="8.5703125" style="233" customWidth="1"/>
    <col min="15087" max="15315" width="8.7109375" style="233"/>
    <col min="15316" max="15316" width="4.140625" style="233" bestFit="1" customWidth="1"/>
    <col min="15317" max="15317" width="16.5703125" style="233" customWidth="1"/>
    <col min="15318" max="15318" width="6.5703125" style="233" customWidth="1"/>
    <col min="15319" max="15319" width="8.7109375" style="233"/>
    <col min="15320" max="15320" width="12.42578125" style="233" customWidth="1"/>
    <col min="15321" max="15321" width="8.140625" style="233" customWidth="1"/>
    <col min="15322" max="15322" width="8.7109375" style="233"/>
    <col min="15323" max="15324" width="5.85546875" style="233" customWidth="1"/>
    <col min="15325" max="15325" width="7.5703125" style="233" customWidth="1"/>
    <col min="15326" max="15326" width="6.5703125" style="233" customWidth="1"/>
    <col min="15327" max="15327" width="5.85546875" style="233" customWidth="1"/>
    <col min="15328" max="15328" width="6.5703125" style="233" customWidth="1"/>
    <col min="15329" max="15330" width="7.85546875" style="233" customWidth="1"/>
    <col min="15331" max="15331" width="8.140625" style="233" customWidth="1"/>
    <col min="15332" max="15333" width="6.5703125" style="233" customWidth="1"/>
    <col min="15334" max="15334" width="5.85546875" style="233" customWidth="1"/>
    <col min="15335" max="15335" width="6.5703125" style="233" customWidth="1"/>
    <col min="15336" max="15336" width="7" style="233" customWidth="1"/>
    <col min="15337" max="15337" width="5.85546875" style="233" customWidth="1"/>
    <col min="15338" max="15338" width="10.85546875" style="233" customWidth="1"/>
    <col min="15339" max="15339" width="9" style="233" customWidth="1"/>
    <col min="15340" max="15340" width="8.5703125" style="233" customWidth="1"/>
    <col min="15341" max="15341" width="8" style="233" customWidth="1"/>
    <col min="15342" max="15342" width="8.5703125" style="233" customWidth="1"/>
    <col min="15343" max="15571" width="8.7109375" style="233"/>
    <col min="15572" max="15572" width="4.140625" style="233" bestFit="1" customWidth="1"/>
    <col min="15573" max="15573" width="16.5703125" style="233" customWidth="1"/>
    <col min="15574" max="15574" width="6.5703125" style="233" customWidth="1"/>
    <col min="15575" max="15575" width="8.7109375" style="233"/>
    <col min="15576" max="15576" width="12.42578125" style="233" customWidth="1"/>
    <col min="15577" max="15577" width="8.140625" style="233" customWidth="1"/>
    <col min="15578" max="15578" width="8.7109375" style="233"/>
    <col min="15579" max="15580" width="5.85546875" style="233" customWidth="1"/>
    <col min="15581" max="15581" width="7.5703125" style="233" customWidth="1"/>
    <col min="15582" max="15582" width="6.5703125" style="233" customWidth="1"/>
    <col min="15583" max="15583" width="5.85546875" style="233" customWidth="1"/>
    <col min="15584" max="15584" width="6.5703125" style="233" customWidth="1"/>
    <col min="15585" max="15586" width="7.85546875" style="233" customWidth="1"/>
    <col min="15587" max="15587" width="8.140625" style="233" customWidth="1"/>
    <col min="15588" max="15589" width="6.5703125" style="233" customWidth="1"/>
    <col min="15590" max="15590" width="5.85546875" style="233" customWidth="1"/>
    <col min="15591" max="15591" width="6.5703125" style="233" customWidth="1"/>
    <col min="15592" max="15592" width="7" style="233" customWidth="1"/>
    <col min="15593" max="15593" width="5.85546875" style="233" customWidth="1"/>
    <col min="15594" max="15594" width="10.85546875" style="233" customWidth="1"/>
    <col min="15595" max="15595" width="9" style="233" customWidth="1"/>
    <col min="15596" max="15596" width="8.5703125" style="233" customWidth="1"/>
    <col min="15597" max="15597" width="8" style="233" customWidth="1"/>
    <col min="15598" max="15598" width="8.5703125" style="233" customWidth="1"/>
    <col min="15599" max="15827" width="8.7109375" style="233"/>
    <col min="15828" max="15828" width="4.140625" style="233" bestFit="1" customWidth="1"/>
    <col min="15829" max="15829" width="16.5703125" style="233" customWidth="1"/>
    <col min="15830" max="15830" width="6.5703125" style="233" customWidth="1"/>
    <col min="15831" max="15831" width="8.7109375" style="233"/>
    <col min="15832" max="15832" width="12.42578125" style="233" customWidth="1"/>
    <col min="15833" max="15833" width="8.140625" style="233" customWidth="1"/>
    <col min="15834" max="15834" width="8.7109375" style="233"/>
    <col min="15835" max="15836" width="5.85546875" style="233" customWidth="1"/>
    <col min="15837" max="15837" width="7.5703125" style="233" customWidth="1"/>
    <col min="15838" max="15838" width="6.5703125" style="233" customWidth="1"/>
    <col min="15839" max="15839" width="5.85546875" style="233" customWidth="1"/>
    <col min="15840" max="15840" width="6.5703125" style="233" customWidth="1"/>
    <col min="15841" max="15842" width="7.85546875" style="233" customWidth="1"/>
    <col min="15843" max="15843" width="8.140625" style="233" customWidth="1"/>
    <col min="15844" max="15845" width="6.5703125" style="233" customWidth="1"/>
    <col min="15846" max="15846" width="5.85546875" style="233" customWidth="1"/>
    <col min="15847" max="15847" width="6.5703125" style="233" customWidth="1"/>
    <col min="15848" max="15848" width="7" style="233" customWidth="1"/>
    <col min="15849" max="15849" width="5.85546875" style="233" customWidth="1"/>
    <col min="15850" max="15850" width="10.85546875" style="233" customWidth="1"/>
    <col min="15851" max="15851" width="9" style="233" customWidth="1"/>
    <col min="15852" max="15852" width="8.5703125" style="233" customWidth="1"/>
    <col min="15853" max="15853" width="8" style="233" customWidth="1"/>
    <col min="15854" max="15854" width="8.5703125" style="233" customWidth="1"/>
    <col min="15855" max="16083" width="8.7109375" style="233"/>
    <col min="16084" max="16084" width="4.140625" style="233" bestFit="1" customWidth="1"/>
    <col min="16085" max="16085" width="16.5703125" style="233" customWidth="1"/>
    <col min="16086" max="16086" width="6.5703125" style="233" customWidth="1"/>
    <col min="16087" max="16087" width="8.7109375" style="233"/>
    <col min="16088" max="16088" width="12.42578125" style="233" customWidth="1"/>
    <col min="16089" max="16089" width="8.140625" style="233" customWidth="1"/>
    <col min="16090" max="16090" width="8.7109375" style="233"/>
    <col min="16091" max="16092" width="5.85546875" style="233" customWidth="1"/>
    <col min="16093" max="16093" width="7.5703125" style="233" customWidth="1"/>
    <col min="16094" max="16094" width="6.5703125" style="233" customWidth="1"/>
    <col min="16095" max="16095" width="5.85546875" style="233" customWidth="1"/>
    <col min="16096" max="16096" width="6.5703125" style="233" customWidth="1"/>
    <col min="16097" max="16098" width="7.85546875" style="233" customWidth="1"/>
    <col min="16099" max="16099" width="8.140625" style="233" customWidth="1"/>
    <col min="16100" max="16101" width="6.5703125" style="233" customWidth="1"/>
    <col min="16102" max="16102" width="5.85546875" style="233" customWidth="1"/>
    <col min="16103" max="16103" width="6.5703125" style="233" customWidth="1"/>
    <col min="16104" max="16104" width="7" style="233" customWidth="1"/>
    <col min="16105" max="16105" width="5.85546875" style="233" customWidth="1"/>
    <col min="16106" max="16106" width="10.85546875" style="233" customWidth="1"/>
    <col min="16107" max="16107" width="9" style="233" customWidth="1"/>
    <col min="16108" max="16108" width="8.5703125" style="233" customWidth="1"/>
    <col min="16109" max="16109" width="8" style="233" customWidth="1"/>
    <col min="16110" max="16110" width="8.5703125" style="233" customWidth="1"/>
    <col min="16111" max="16384" width="8.7109375" style="233"/>
  </cols>
  <sheetData>
    <row r="1" spans="1:23" x14ac:dyDescent="0.25">
      <c r="A1" s="505"/>
      <c r="B1" s="505"/>
      <c r="C1" s="230"/>
      <c r="D1" s="229"/>
      <c r="E1" s="229"/>
      <c r="F1" s="229"/>
      <c r="G1" s="231"/>
      <c r="H1" s="232"/>
      <c r="I1" s="232"/>
      <c r="J1" s="232"/>
      <c r="K1" s="232"/>
      <c r="L1" s="232"/>
      <c r="M1" s="232"/>
      <c r="N1" s="232"/>
      <c r="O1" s="506" t="s">
        <v>1248</v>
      </c>
      <c r="P1" s="506"/>
      <c r="Q1" s="506"/>
      <c r="R1" s="506"/>
    </row>
    <row r="2" spans="1:23" x14ac:dyDescent="0.25">
      <c r="A2" s="507" t="s">
        <v>1517</v>
      </c>
      <c r="B2" s="507"/>
      <c r="C2" s="507"/>
      <c r="D2" s="507"/>
      <c r="E2" s="507"/>
      <c r="F2" s="507"/>
      <c r="G2" s="507"/>
      <c r="H2" s="507"/>
      <c r="I2" s="507"/>
      <c r="J2" s="507"/>
      <c r="K2" s="507"/>
      <c r="L2" s="507"/>
      <c r="M2" s="507"/>
      <c r="N2" s="507"/>
      <c r="O2" s="507"/>
      <c r="P2" s="507"/>
      <c r="Q2" s="507"/>
      <c r="R2" s="507"/>
    </row>
    <row r="3" spans="1:23" ht="18.75" x14ac:dyDescent="0.25">
      <c r="A3" s="417" t="str">
        <f>'PL 01'!A3:C3</f>
        <v>(Dự toán trình Hội đồng nhân dân huyện)</v>
      </c>
      <c r="B3" s="417"/>
      <c r="C3" s="417"/>
      <c r="D3" s="417"/>
      <c r="E3" s="417"/>
      <c r="F3" s="417"/>
      <c r="G3" s="417"/>
      <c r="H3" s="417"/>
      <c r="I3" s="417"/>
      <c r="J3" s="417"/>
      <c r="K3" s="417"/>
      <c r="L3" s="417"/>
      <c r="M3" s="417"/>
      <c r="N3" s="417"/>
      <c r="O3" s="417"/>
      <c r="P3" s="417"/>
      <c r="Q3" s="417"/>
      <c r="R3" s="417"/>
    </row>
    <row r="4" spans="1:23" ht="16.5" customHeight="1" x14ac:dyDescent="0.25">
      <c r="A4" s="463" t="str">
        <f>'PL 01'!A4:C4</f>
        <v>(Kèm theo Báo cáo số: 431/BC-UBND ngày 29 tháng 12 năm 2023 của UBND huyện Phụng Hiệp)</v>
      </c>
      <c r="B4" s="463"/>
      <c r="C4" s="463"/>
      <c r="D4" s="463"/>
      <c r="E4" s="463"/>
      <c r="F4" s="463"/>
      <c r="G4" s="463"/>
      <c r="H4" s="463"/>
      <c r="I4" s="463"/>
      <c r="J4" s="463"/>
      <c r="K4" s="463"/>
      <c r="L4" s="463"/>
      <c r="M4" s="463"/>
      <c r="N4" s="463"/>
      <c r="O4" s="463"/>
      <c r="P4" s="463"/>
      <c r="Q4" s="463"/>
      <c r="R4" s="463"/>
    </row>
    <row r="5" spans="1:23" x14ac:dyDescent="0.25">
      <c r="P5" s="508" t="s">
        <v>1109</v>
      </c>
      <c r="Q5" s="508"/>
      <c r="R5" s="508"/>
    </row>
    <row r="6" spans="1:23" s="234" customFormat="1" ht="15.6" customHeight="1" x14ac:dyDescent="0.25">
      <c r="A6" s="511" t="s">
        <v>3</v>
      </c>
      <c r="B6" s="511" t="s">
        <v>1344</v>
      </c>
      <c r="C6" s="509" t="s">
        <v>1025</v>
      </c>
      <c r="D6" s="509"/>
      <c r="E6" s="510"/>
      <c r="F6" s="512" t="s">
        <v>1345</v>
      </c>
      <c r="G6" s="515" t="s">
        <v>1029</v>
      </c>
      <c r="H6" s="522" t="s">
        <v>1346</v>
      </c>
      <c r="I6" s="523"/>
      <c r="J6" s="523"/>
      <c r="K6" s="523"/>
      <c r="L6" s="523"/>
      <c r="M6" s="523"/>
      <c r="N6" s="523"/>
      <c r="O6" s="523"/>
      <c r="P6" s="523"/>
      <c r="Q6" s="523"/>
      <c r="R6" s="515" t="s">
        <v>129</v>
      </c>
      <c r="T6" s="233"/>
    </row>
    <row r="7" spans="1:23" s="234" customFormat="1" ht="15.75" customHeight="1" x14ac:dyDescent="0.25">
      <c r="A7" s="511"/>
      <c r="B7" s="511"/>
      <c r="C7" s="518" t="s">
        <v>130</v>
      </c>
      <c r="D7" s="520" t="s">
        <v>1027</v>
      </c>
      <c r="E7" s="520" t="s">
        <v>1347</v>
      </c>
      <c r="F7" s="513"/>
      <c r="G7" s="516"/>
      <c r="H7" s="522" t="s">
        <v>1030</v>
      </c>
      <c r="I7" s="523"/>
      <c r="J7" s="523"/>
      <c r="K7" s="523"/>
      <c r="L7" s="523"/>
      <c r="M7" s="523"/>
      <c r="N7" s="523"/>
      <c r="O7" s="523"/>
      <c r="P7" s="524"/>
      <c r="Q7" s="525" t="s">
        <v>1031</v>
      </c>
      <c r="R7" s="516"/>
      <c r="T7" s="233"/>
    </row>
    <row r="8" spans="1:23" s="234" customFormat="1" ht="15.75" customHeight="1" x14ac:dyDescent="0.25">
      <c r="A8" s="511"/>
      <c r="B8" s="511"/>
      <c r="C8" s="518"/>
      <c r="D8" s="520"/>
      <c r="E8" s="520"/>
      <c r="F8" s="513"/>
      <c r="G8" s="516"/>
      <c r="H8" s="515" t="s">
        <v>1032</v>
      </c>
      <c r="I8" s="522" t="s">
        <v>162</v>
      </c>
      <c r="J8" s="523"/>
      <c r="K8" s="523"/>
      <c r="L8" s="523"/>
      <c r="M8" s="523"/>
      <c r="N8" s="523"/>
      <c r="O8" s="523"/>
      <c r="P8" s="524"/>
      <c r="Q8" s="525"/>
      <c r="R8" s="516"/>
      <c r="T8" s="233"/>
    </row>
    <row r="9" spans="1:23" s="234" customFormat="1" x14ac:dyDescent="0.25">
      <c r="A9" s="511"/>
      <c r="B9" s="511"/>
      <c r="C9" s="518"/>
      <c r="D9" s="520"/>
      <c r="E9" s="520"/>
      <c r="F9" s="513"/>
      <c r="G9" s="516"/>
      <c r="H9" s="516"/>
      <c r="I9" s="528" t="s">
        <v>1033</v>
      </c>
      <c r="J9" s="528" t="s">
        <v>1034</v>
      </c>
      <c r="K9" s="528" t="s">
        <v>1348</v>
      </c>
      <c r="L9" s="526" t="s">
        <v>1477</v>
      </c>
      <c r="M9" s="528" t="s">
        <v>1035</v>
      </c>
      <c r="N9" s="528"/>
      <c r="O9" s="528"/>
      <c r="P9" s="528" t="s">
        <v>1221</v>
      </c>
      <c r="Q9" s="525"/>
      <c r="R9" s="516"/>
      <c r="T9" s="233"/>
    </row>
    <row r="10" spans="1:23" s="234" customFormat="1" ht="78.75" x14ac:dyDescent="0.25">
      <c r="A10" s="511"/>
      <c r="B10" s="511"/>
      <c r="C10" s="519"/>
      <c r="D10" s="521"/>
      <c r="E10" s="521"/>
      <c r="F10" s="514"/>
      <c r="G10" s="517"/>
      <c r="H10" s="517"/>
      <c r="I10" s="528"/>
      <c r="J10" s="528"/>
      <c r="K10" s="528"/>
      <c r="L10" s="527"/>
      <c r="M10" s="238" t="s">
        <v>1509</v>
      </c>
      <c r="N10" s="238" t="s">
        <v>1510</v>
      </c>
      <c r="O10" s="238" t="s">
        <v>1511</v>
      </c>
      <c r="P10" s="528"/>
      <c r="Q10" s="525"/>
      <c r="R10" s="517"/>
      <c r="S10" s="328"/>
      <c r="T10" s="327"/>
      <c r="U10" s="328"/>
      <c r="V10" s="328"/>
      <c r="W10" s="328"/>
    </row>
    <row r="11" spans="1:23" s="244" customFormat="1" ht="20.100000000000001" customHeight="1" x14ac:dyDescent="0.25">
      <c r="A11" s="239" t="s">
        <v>144</v>
      </c>
      <c r="B11" s="239" t="s">
        <v>146</v>
      </c>
      <c r="C11" s="240" t="s">
        <v>489</v>
      </c>
      <c r="D11" s="241">
        <v>2</v>
      </c>
      <c r="E11" s="241">
        <v>3</v>
      </c>
      <c r="F11" s="274">
        <v>4</v>
      </c>
      <c r="G11" s="242" t="s">
        <v>1546</v>
      </c>
      <c r="H11" s="243" t="s">
        <v>1545</v>
      </c>
      <c r="I11" s="243">
        <v>7</v>
      </c>
      <c r="J11" s="243">
        <v>8</v>
      </c>
      <c r="K11" s="243">
        <v>9</v>
      </c>
      <c r="L11" s="243">
        <v>10</v>
      </c>
      <c r="M11" s="243">
        <v>11</v>
      </c>
      <c r="N11" s="243">
        <v>12</v>
      </c>
      <c r="O11" s="243" t="s">
        <v>1544</v>
      </c>
      <c r="P11" s="243">
        <v>14</v>
      </c>
      <c r="Q11" s="243">
        <v>15</v>
      </c>
      <c r="R11" s="243">
        <v>16</v>
      </c>
      <c r="S11" s="325"/>
      <c r="T11" s="325"/>
      <c r="U11" s="325"/>
      <c r="V11" s="325"/>
      <c r="W11" s="325"/>
    </row>
    <row r="12" spans="1:23" s="234" customFormat="1" ht="20.100000000000001" customHeight="1" x14ac:dyDescent="0.25">
      <c r="A12" s="177"/>
      <c r="B12" s="177" t="s">
        <v>1036</v>
      </c>
      <c r="C12" s="333">
        <f>C13</f>
        <v>1827</v>
      </c>
      <c r="D12" s="333">
        <f t="shared" ref="D12:F12" si="0">D13</f>
        <v>1730</v>
      </c>
      <c r="E12" s="333">
        <f t="shared" si="0"/>
        <v>97</v>
      </c>
      <c r="F12" s="333">
        <f t="shared" si="0"/>
        <v>1033</v>
      </c>
      <c r="G12" s="334">
        <f>G13+G81+G82+G91</f>
        <v>330225.81859748001</v>
      </c>
      <c r="H12" s="335">
        <f>SUM(I12:K12)+O12</f>
        <v>270751.06100519997</v>
      </c>
      <c r="I12" s="334">
        <f t="shared" ref="I12:Q12" si="1">I13+I81+I82+I91</f>
        <v>146996.9424</v>
      </c>
      <c r="J12" s="334">
        <f t="shared" si="1"/>
        <v>40861.280725199991</v>
      </c>
      <c r="K12" s="334">
        <f t="shared" si="1"/>
        <v>73931.870880000002</v>
      </c>
      <c r="L12" s="334">
        <f t="shared" si="1"/>
        <v>982</v>
      </c>
      <c r="M12" s="334">
        <f t="shared" si="1"/>
        <v>11901.599999999999</v>
      </c>
      <c r="N12" s="334">
        <f t="shared" si="1"/>
        <v>3063.8465999999999</v>
      </c>
      <c r="O12" s="334">
        <f t="shared" si="1"/>
        <v>8960.9669999999987</v>
      </c>
      <c r="P12" s="334">
        <f t="shared" si="1"/>
        <v>3019.3905994800039</v>
      </c>
      <c r="Q12" s="334">
        <f t="shared" si="1"/>
        <v>55473.366992800002</v>
      </c>
      <c r="R12" s="334"/>
      <c r="S12" s="328" t="s">
        <v>1518</v>
      </c>
      <c r="T12" s="330">
        <v>261539</v>
      </c>
      <c r="U12" s="328"/>
      <c r="V12" s="328"/>
      <c r="W12" s="328"/>
    </row>
    <row r="13" spans="1:23" s="245" customFormat="1" ht="20.100000000000001" customHeight="1" x14ac:dyDescent="0.2">
      <c r="A13" s="336" t="s">
        <v>15</v>
      </c>
      <c r="B13" s="336" t="s">
        <v>1487</v>
      </c>
      <c r="C13" s="337">
        <f>C67+C32+C14</f>
        <v>1827</v>
      </c>
      <c r="D13" s="337">
        <f>D67+D32+D14</f>
        <v>1730</v>
      </c>
      <c r="E13" s="337">
        <f>E67+E32+E14</f>
        <v>97</v>
      </c>
      <c r="F13" s="337">
        <f>F67+F32+F14</f>
        <v>1033</v>
      </c>
      <c r="G13" s="334">
        <f>G67+G32+G14</f>
        <v>281677.53899799997</v>
      </c>
      <c r="H13" s="335">
        <f>SUM(I13:K13)+O13</f>
        <v>270751.06100519997</v>
      </c>
      <c r="I13" s="334">
        <f t="shared" ref="I13:Q13" si="2">I67+I32+I14</f>
        <v>146996.9424</v>
      </c>
      <c r="J13" s="334">
        <f>J67+J32+J14</f>
        <v>40861.280725199991</v>
      </c>
      <c r="K13" s="334">
        <f t="shared" si="2"/>
        <v>73931.870880000002</v>
      </c>
      <c r="L13" s="334">
        <f t="shared" si="2"/>
        <v>982</v>
      </c>
      <c r="M13" s="334">
        <f t="shared" si="2"/>
        <v>11901.599999999999</v>
      </c>
      <c r="N13" s="334">
        <f t="shared" si="2"/>
        <v>3063.8465999999999</v>
      </c>
      <c r="O13" s="334">
        <f t="shared" si="2"/>
        <v>8960.9669999999987</v>
      </c>
      <c r="P13" s="334">
        <f t="shared" si="2"/>
        <v>0</v>
      </c>
      <c r="Q13" s="338">
        <f t="shared" si="2"/>
        <v>9944.4779928000025</v>
      </c>
      <c r="R13" s="334"/>
      <c r="S13" s="329" t="s">
        <v>1519</v>
      </c>
      <c r="T13" s="330">
        <v>44608</v>
      </c>
      <c r="U13" s="329"/>
      <c r="V13" s="329"/>
      <c r="W13" s="329"/>
    </row>
    <row r="14" spans="1:23" s="246" customFormat="1" ht="20.100000000000001" customHeight="1" x14ac:dyDescent="0.25">
      <c r="A14" s="337" t="s">
        <v>83</v>
      </c>
      <c r="B14" s="337" t="s">
        <v>1349</v>
      </c>
      <c r="C14" s="333">
        <f>SUM(C15:C31)</f>
        <v>458</v>
      </c>
      <c r="D14" s="333">
        <f t="shared" ref="D14:Q14" si="3">SUM(D15:D31)</f>
        <v>411</v>
      </c>
      <c r="E14" s="333">
        <f t="shared" si="3"/>
        <v>47</v>
      </c>
      <c r="F14" s="333">
        <f t="shared" si="3"/>
        <v>209</v>
      </c>
      <c r="G14" s="339">
        <f t="shared" si="3"/>
        <v>56376.369866000001</v>
      </c>
      <c r="H14" s="339">
        <f t="shared" si="3"/>
        <v>53266.675332800005</v>
      </c>
      <c r="I14" s="339">
        <f t="shared" si="3"/>
        <v>30051.432000000001</v>
      </c>
      <c r="J14" s="339">
        <f t="shared" si="3"/>
        <v>7810.6076928000002</v>
      </c>
      <c r="K14" s="339">
        <f t="shared" si="3"/>
        <v>13891.994640000001</v>
      </c>
      <c r="L14" s="339">
        <f t="shared" si="3"/>
        <v>281</v>
      </c>
      <c r="M14" s="339">
        <f t="shared" si="3"/>
        <v>2508</v>
      </c>
      <c r="N14" s="339">
        <f t="shared" si="3"/>
        <v>1344.2166</v>
      </c>
      <c r="O14" s="339">
        <f t="shared" si="3"/>
        <v>1231.6409999999998</v>
      </c>
      <c r="P14" s="339">
        <f t="shared" si="3"/>
        <v>0</v>
      </c>
      <c r="Q14" s="339">
        <f t="shared" si="3"/>
        <v>3109.6945332000005</v>
      </c>
      <c r="R14" s="339"/>
      <c r="S14" s="326" t="s">
        <v>1520</v>
      </c>
      <c r="T14" s="330">
        <f>T12+T13</f>
        <v>306147</v>
      </c>
      <c r="U14" s="326"/>
      <c r="V14" s="326"/>
      <c r="W14" s="326"/>
    </row>
    <row r="15" spans="1:23" s="247" customFormat="1" ht="20.100000000000001" customHeight="1" x14ac:dyDescent="0.25">
      <c r="A15" s="340" t="s">
        <v>1350</v>
      </c>
      <c r="B15" s="341" t="s">
        <v>1351</v>
      </c>
      <c r="C15" s="342">
        <f>SUM(D15:E15)</f>
        <v>30</v>
      </c>
      <c r="D15" s="343">
        <v>27</v>
      </c>
      <c r="E15" s="343">
        <v>3</v>
      </c>
      <c r="F15" s="344">
        <v>13</v>
      </c>
      <c r="G15" s="345">
        <f>H15+Q15</f>
        <v>3686.16669</v>
      </c>
      <c r="H15" s="346">
        <f>SUM(I15:L15)+O15</f>
        <v>3481.0176780000002</v>
      </c>
      <c r="I15" s="345">
        <f>(85.44+1.95+7.683)*12*1.8</f>
        <v>2053.5768000000003</v>
      </c>
      <c r="J15" s="346">
        <f>(85.44+1.95+10.4925+7.683)*1.8*23.5%*12</f>
        <v>535.85047799999995</v>
      </c>
      <c r="K15" s="346">
        <f>(10.4925+0.1+29.8515)*1.8*12</f>
        <v>873.59040000000016</v>
      </c>
      <c r="L15" s="346">
        <f>15+3</f>
        <v>18</v>
      </c>
      <c r="M15" s="346">
        <v>156</v>
      </c>
      <c r="N15" s="345">
        <v>163.94400000000002</v>
      </c>
      <c r="O15" s="345"/>
      <c r="P15" s="345"/>
      <c r="Q15" s="346">
        <v>205.14901200000003</v>
      </c>
      <c r="R15" s="334"/>
      <c r="S15" s="327" t="s">
        <v>1521</v>
      </c>
      <c r="T15" s="331">
        <f>I13+J13+K13+U15</f>
        <v>275953.09400519996</v>
      </c>
      <c r="U15" s="327">
        <v>14163</v>
      </c>
      <c r="V15" s="327"/>
      <c r="W15" s="327"/>
    </row>
    <row r="16" spans="1:23" s="247" customFormat="1" ht="20.100000000000001" customHeight="1" x14ac:dyDescent="0.25">
      <c r="A16" s="340" t="s">
        <v>1352</v>
      </c>
      <c r="B16" s="341" t="s">
        <v>1353</v>
      </c>
      <c r="C16" s="342">
        <f t="shared" ref="C16:C31" si="4">SUM(D16:E16)</f>
        <v>22</v>
      </c>
      <c r="D16" s="343">
        <v>19</v>
      </c>
      <c r="E16" s="343">
        <v>3</v>
      </c>
      <c r="F16" s="344">
        <v>11</v>
      </c>
      <c r="G16" s="345">
        <f t="shared" ref="G16:G31" si="5">H16+Q16</f>
        <v>3948.9520208000004</v>
      </c>
      <c r="H16" s="346">
        <f t="shared" ref="H16:H31" si="6">SUM(I16:L16)+O16</f>
        <v>3803.6294120000002</v>
      </c>
      <c r="I16" s="345">
        <f>(55.46+2+6.466)*1.8*12</f>
        <v>1380.8016</v>
      </c>
      <c r="J16" s="346">
        <f>(55.46+2+6.466+0.841+7.32)*1.8*23.5%*12</f>
        <v>365.91361199999994</v>
      </c>
      <c r="K16" s="346">
        <f>(55.46+2+6.466+0.841+7.32+0.1+18.88)*1.8*12</f>
        <v>1967.0471999999997</v>
      </c>
      <c r="L16" s="346">
        <f>11+3</f>
        <v>14</v>
      </c>
      <c r="M16" s="346">
        <v>132</v>
      </c>
      <c r="N16" s="345">
        <v>56.133000000000003</v>
      </c>
      <c r="O16" s="345">
        <f t="shared" ref="O16:O79" si="7">M16-N16</f>
        <v>75.86699999999999</v>
      </c>
      <c r="P16" s="345"/>
      <c r="Q16" s="346">
        <v>145.32260880000004</v>
      </c>
      <c r="R16" s="334"/>
      <c r="S16" s="327" t="s">
        <v>1522</v>
      </c>
      <c r="T16" s="332">
        <f>T14-T15</f>
        <v>30193.905994800036</v>
      </c>
      <c r="U16" s="327"/>
      <c r="V16" s="327"/>
      <c r="W16" s="327"/>
    </row>
    <row r="17" spans="1:23" s="247" customFormat="1" ht="20.100000000000001" customHeight="1" x14ac:dyDescent="0.25">
      <c r="A17" s="340" t="s">
        <v>1354</v>
      </c>
      <c r="B17" s="341" t="s">
        <v>1355</v>
      </c>
      <c r="C17" s="342">
        <f t="shared" si="4"/>
        <v>30</v>
      </c>
      <c r="D17" s="343">
        <v>29</v>
      </c>
      <c r="E17" s="343">
        <v>1</v>
      </c>
      <c r="F17" s="344">
        <v>15</v>
      </c>
      <c r="G17" s="345">
        <f t="shared" si="5"/>
        <v>3757.0137920000002</v>
      </c>
      <c r="H17" s="346">
        <f t="shared" si="6"/>
        <v>3536.8647800000003</v>
      </c>
      <c r="I17" s="345">
        <f>(2.181+88.55+2.65)*1.8*12</f>
        <v>2017.0296000000001</v>
      </c>
      <c r="J17" s="346">
        <f>(2.181+88.55+2.65+9.674)*1.8*23.5%*12</f>
        <v>523.10718000000008</v>
      </c>
      <c r="K17" s="346">
        <f>(9.674+0.1+30.681)*1.8*12</f>
        <v>873.82799999999997</v>
      </c>
      <c r="L17" s="346">
        <f>15+3.5</f>
        <v>18.5</v>
      </c>
      <c r="M17" s="346">
        <v>180</v>
      </c>
      <c r="N17" s="345">
        <v>75.600000000000009</v>
      </c>
      <c r="O17" s="345">
        <f t="shared" si="7"/>
        <v>104.39999999999999</v>
      </c>
      <c r="P17" s="345"/>
      <c r="Q17" s="346">
        <v>220.14901200000003</v>
      </c>
      <c r="R17" s="334"/>
      <c r="S17" s="327" t="s">
        <v>1523</v>
      </c>
      <c r="T17" s="332">
        <f>T16*10%</f>
        <v>3019.3905994800039</v>
      </c>
      <c r="U17" s="327"/>
      <c r="V17" s="327"/>
      <c r="W17" s="327"/>
    </row>
    <row r="18" spans="1:23" s="247" customFormat="1" ht="20.100000000000001" customHeight="1" x14ac:dyDescent="0.25">
      <c r="A18" s="340" t="s">
        <v>1356</v>
      </c>
      <c r="B18" s="341" t="s">
        <v>1357</v>
      </c>
      <c r="C18" s="342">
        <f t="shared" si="4"/>
        <v>33</v>
      </c>
      <c r="D18" s="343">
        <v>31</v>
      </c>
      <c r="E18" s="343">
        <v>2</v>
      </c>
      <c r="F18" s="344">
        <v>15</v>
      </c>
      <c r="G18" s="345">
        <f t="shared" si="5"/>
        <v>4039.3850200000002</v>
      </c>
      <c r="H18" s="346">
        <f t="shared" si="6"/>
        <v>3830.1062200000001</v>
      </c>
      <c r="I18" s="345">
        <f>(4.942+94.055+2.3)*1.8*12</f>
        <v>2188.0152000000003</v>
      </c>
      <c r="J18" s="346">
        <f>(4.942+94.055+2.3+11.448)*1.8*23.5%*12</f>
        <v>572.29361999999992</v>
      </c>
      <c r="K18" s="346">
        <f>(11.448+0.1+32.486)*1.8*12</f>
        <v>951.13440000000003</v>
      </c>
      <c r="L18" s="346">
        <f>16.5+4</f>
        <v>20.5</v>
      </c>
      <c r="M18" s="346">
        <v>180</v>
      </c>
      <c r="N18" s="345">
        <v>81.837000000000003</v>
      </c>
      <c r="O18" s="345">
        <f t="shared" si="7"/>
        <v>98.162999999999997</v>
      </c>
      <c r="P18" s="345"/>
      <c r="Q18" s="346">
        <v>209.27879999999999</v>
      </c>
      <c r="R18" s="334"/>
      <c r="S18" s="327" t="s">
        <v>1524</v>
      </c>
      <c r="T18" s="332">
        <f>T16-T17</f>
        <v>27174.515395320032</v>
      </c>
      <c r="U18" s="327"/>
      <c r="V18" s="327"/>
      <c r="W18" s="327"/>
    </row>
    <row r="19" spans="1:23" s="247" customFormat="1" ht="20.100000000000001" customHeight="1" x14ac:dyDescent="0.25">
      <c r="A19" s="340" t="s">
        <v>1358</v>
      </c>
      <c r="B19" s="341" t="s">
        <v>1359</v>
      </c>
      <c r="C19" s="342">
        <f t="shared" si="4"/>
        <v>42</v>
      </c>
      <c r="D19" s="343">
        <v>37</v>
      </c>
      <c r="E19" s="343">
        <v>5</v>
      </c>
      <c r="F19" s="344">
        <v>17</v>
      </c>
      <c r="G19" s="345">
        <f t="shared" si="5"/>
        <v>4833.7033047999985</v>
      </c>
      <c r="H19" s="346">
        <f t="shared" si="6"/>
        <v>4542.1146879999988</v>
      </c>
      <c r="I19" s="345">
        <f>(110.77+2.25+10.816)*1.8*12</f>
        <v>2674.8575999999998</v>
      </c>
      <c r="J19" s="346">
        <f>(110.77+2.25+10.816+11.352)*1.8*23.5%*12</f>
        <v>686.2142879999999</v>
      </c>
      <c r="K19" s="346">
        <f>(11.352+0.1+37.471)*1.8*12</f>
        <v>1056.7367999999999</v>
      </c>
      <c r="L19" s="346">
        <f>21+2.5</f>
        <v>23.5</v>
      </c>
      <c r="M19" s="346">
        <v>204</v>
      </c>
      <c r="N19" s="347">
        <v>103.19400000000002</v>
      </c>
      <c r="O19" s="345">
        <f t="shared" si="7"/>
        <v>100.80599999999998</v>
      </c>
      <c r="P19" s="345"/>
      <c r="Q19" s="346">
        <v>291.58861680000007</v>
      </c>
      <c r="R19" s="334"/>
      <c r="S19" s="327" t="s">
        <v>1525</v>
      </c>
      <c r="T19" s="331">
        <f>O13</f>
        <v>8960.9669999999987</v>
      </c>
      <c r="U19" s="327"/>
      <c r="V19" s="327"/>
      <c r="W19" s="327"/>
    </row>
    <row r="20" spans="1:23" s="247" customFormat="1" ht="20.100000000000001" customHeight="1" x14ac:dyDescent="0.25">
      <c r="A20" s="340" t="s">
        <v>1360</v>
      </c>
      <c r="B20" s="341" t="s">
        <v>1361</v>
      </c>
      <c r="C20" s="342">
        <f t="shared" si="4"/>
        <v>42</v>
      </c>
      <c r="D20" s="343">
        <v>39</v>
      </c>
      <c r="E20" s="343">
        <v>3</v>
      </c>
      <c r="F20" s="344">
        <v>19</v>
      </c>
      <c r="G20" s="345">
        <f t="shared" si="5"/>
        <v>5130.9634600000009</v>
      </c>
      <c r="H20" s="346">
        <f t="shared" si="6"/>
        <v>4880.3867800000007</v>
      </c>
      <c r="I20" s="345">
        <f>(119.485+1.95+7.217)*1.8*12</f>
        <v>2778.8832000000002</v>
      </c>
      <c r="J20" s="346">
        <f>(119.485+1.95+7.217+0.294+14.209)*1.8*23.5%*12</f>
        <v>726.65478000000019</v>
      </c>
      <c r="K20" s="346">
        <f>(0.294+14.209+0.1+40.765)*1.8*12</f>
        <v>1195.9488000000001</v>
      </c>
      <c r="L20" s="346">
        <f>21+5.5</f>
        <v>26.5</v>
      </c>
      <c r="M20" s="346">
        <v>228</v>
      </c>
      <c r="N20" s="347">
        <v>75.600000000000009</v>
      </c>
      <c r="O20" s="345">
        <f t="shared" si="7"/>
        <v>152.39999999999998</v>
      </c>
      <c r="P20" s="345"/>
      <c r="Q20" s="346">
        <v>250.57668000000001</v>
      </c>
      <c r="R20" s="334"/>
      <c r="S20" s="327" t="s">
        <v>1526</v>
      </c>
      <c r="T20" s="332">
        <f>T18-T19</f>
        <v>18213.548395320031</v>
      </c>
      <c r="U20" s="327"/>
      <c r="V20" s="327"/>
      <c r="W20" s="327"/>
    </row>
    <row r="21" spans="1:23" s="247" customFormat="1" ht="28.5" customHeight="1" x14ac:dyDescent="0.25">
      <c r="A21" s="340" t="s">
        <v>1362</v>
      </c>
      <c r="B21" s="348" t="s">
        <v>1363</v>
      </c>
      <c r="C21" s="342">
        <f t="shared" si="4"/>
        <v>30</v>
      </c>
      <c r="D21" s="343">
        <v>28</v>
      </c>
      <c r="E21" s="343">
        <v>2</v>
      </c>
      <c r="F21" s="344">
        <v>14</v>
      </c>
      <c r="G21" s="345">
        <f t="shared" si="5"/>
        <v>3829.525412</v>
      </c>
      <c r="H21" s="346">
        <f t="shared" si="6"/>
        <v>3621.3764000000001</v>
      </c>
      <c r="I21" s="345">
        <f>(87.96+2.15+5.347)*1.8*12</f>
        <v>2061.8712</v>
      </c>
      <c r="J21" s="346">
        <f>(87.96+2.15+5.347+11.083)*1.8*23.5%*12</f>
        <v>540.79703999999992</v>
      </c>
      <c r="K21" s="346">
        <f>(11.083+0.4+30.2996)*1.8*12</f>
        <v>902.50415999999996</v>
      </c>
      <c r="L21" s="346">
        <f>14.5+2.5</f>
        <v>17</v>
      </c>
      <c r="M21" s="346">
        <v>168</v>
      </c>
      <c r="N21" s="347">
        <v>68.796000000000021</v>
      </c>
      <c r="O21" s="345">
        <f t="shared" si="7"/>
        <v>99.203999999999979</v>
      </c>
      <c r="P21" s="345"/>
      <c r="Q21" s="346">
        <v>208.14901200000003</v>
      </c>
      <c r="R21" s="334"/>
      <c r="S21" s="327" t="s">
        <v>1527</v>
      </c>
      <c r="T21" s="331">
        <f>Q13</f>
        <v>9944.4779928000025</v>
      </c>
      <c r="U21" s="327"/>
      <c r="V21" s="327"/>
      <c r="W21" s="327"/>
    </row>
    <row r="22" spans="1:23" s="247" customFormat="1" ht="20.100000000000001" customHeight="1" x14ac:dyDescent="0.25">
      <c r="A22" s="340" t="s">
        <v>1364</v>
      </c>
      <c r="B22" s="341" t="s">
        <v>1365</v>
      </c>
      <c r="C22" s="342">
        <f t="shared" si="4"/>
        <v>24</v>
      </c>
      <c r="D22" s="343">
        <v>22</v>
      </c>
      <c r="E22" s="343">
        <v>2</v>
      </c>
      <c r="F22" s="344">
        <v>14</v>
      </c>
      <c r="G22" s="345">
        <f t="shared" si="5"/>
        <v>3105.7879136000001</v>
      </c>
      <c r="H22" s="346">
        <f t="shared" si="6"/>
        <v>2941.0087040000003</v>
      </c>
      <c r="I22" s="345">
        <f>(69.45+2.15+5.69)*1.8*12</f>
        <v>1669.4640000000002</v>
      </c>
      <c r="J22" s="346">
        <f>(69.45+2.15+5.69+9.014)*1.8*23.5%*12</f>
        <v>438.07910400000003</v>
      </c>
      <c r="K22" s="346">
        <f>(9.014+23.9295)*1.8*12</f>
        <v>711.57960000000003</v>
      </c>
      <c r="L22" s="346">
        <f>12+3.5</f>
        <v>15.5</v>
      </c>
      <c r="M22" s="346">
        <v>168</v>
      </c>
      <c r="N22" s="347">
        <v>61.614000000000004</v>
      </c>
      <c r="O22" s="345">
        <f t="shared" si="7"/>
        <v>106.386</v>
      </c>
      <c r="P22" s="345"/>
      <c r="Q22" s="346">
        <v>164.7792096</v>
      </c>
      <c r="R22" s="334"/>
      <c r="S22" s="327"/>
      <c r="T22" s="332">
        <f>T20-T21</f>
        <v>8269.0704025200284</v>
      </c>
      <c r="U22" s="327"/>
      <c r="V22" s="327"/>
      <c r="W22" s="327"/>
    </row>
    <row r="23" spans="1:23" s="247" customFormat="1" ht="20.100000000000001" customHeight="1" x14ac:dyDescent="0.25">
      <c r="A23" s="340" t="s">
        <v>1366</v>
      </c>
      <c r="B23" s="341" t="s">
        <v>1367</v>
      </c>
      <c r="C23" s="342">
        <f t="shared" si="4"/>
        <v>35</v>
      </c>
      <c r="D23" s="343">
        <v>28</v>
      </c>
      <c r="E23" s="343">
        <v>7</v>
      </c>
      <c r="F23" s="344">
        <v>13</v>
      </c>
      <c r="G23" s="345">
        <f t="shared" si="5"/>
        <v>4008.1932260000008</v>
      </c>
      <c r="H23" s="346">
        <f t="shared" si="6"/>
        <v>3766.402712000001</v>
      </c>
      <c r="I23" s="345">
        <f>(86.45+2.15+15.92)*1.8*12</f>
        <v>2257.6320000000005</v>
      </c>
      <c r="J23" s="346">
        <f>(86.45+2.15+15.92+0.636+10.806)*1.8*23.5%*12</f>
        <v>588.62311199999999</v>
      </c>
      <c r="K23" s="346">
        <f>(0.636+10.806+30.2315)*1.8*12</f>
        <v>900.14760000000001</v>
      </c>
      <c r="L23" s="346">
        <f>17.5+2.5</f>
        <v>20</v>
      </c>
      <c r="M23" s="346">
        <v>156</v>
      </c>
      <c r="N23" s="347">
        <v>197.2296</v>
      </c>
      <c r="O23" s="345"/>
      <c r="P23" s="345"/>
      <c r="Q23" s="346">
        <v>241.790514</v>
      </c>
      <c r="R23" s="334"/>
      <c r="S23" s="327"/>
      <c r="T23" s="327"/>
      <c r="U23" s="327"/>
      <c r="V23" s="327"/>
      <c r="W23" s="327"/>
    </row>
    <row r="24" spans="1:23" s="247" customFormat="1" ht="20.100000000000001" customHeight="1" x14ac:dyDescent="0.25">
      <c r="A24" s="340" t="s">
        <v>990</v>
      </c>
      <c r="B24" s="341" t="s">
        <v>1368</v>
      </c>
      <c r="C24" s="342">
        <f t="shared" si="4"/>
        <v>25</v>
      </c>
      <c r="D24" s="343">
        <v>22</v>
      </c>
      <c r="E24" s="343">
        <v>3</v>
      </c>
      <c r="F24" s="344">
        <v>14</v>
      </c>
      <c r="G24" s="345">
        <f t="shared" si="5"/>
        <v>3018.5044860000007</v>
      </c>
      <c r="H24" s="346">
        <f t="shared" si="6"/>
        <v>2843.9969760000008</v>
      </c>
      <c r="I24" s="345">
        <f>(67.98+2.15+5.417)*1.8*12</f>
        <v>1631.8152000000005</v>
      </c>
      <c r="J24" s="346">
        <f>(67.98+2.15+5.417+7.879)*1.8*23.5%*12</f>
        <v>423.4703760000001</v>
      </c>
      <c r="K24" s="346">
        <f>(7.879+0.1+23.415)*1.8*12</f>
        <v>678.11040000000003</v>
      </c>
      <c r="L24" s="346">
        <f>12.5+4</f>
        <v>16.5</v>
      </c>
      <c r="M24" s="346">
        <v>168</v>
      </c>
      <c r="N24" s="347">
        <v>73.899000000000001</v>
      </c>
      <c r="O24" s="345">
        <f t="shared" si="7"/>
        <v>94.100999999999999</v>
      </c>
      <c r="P24" s="345"/>
      <c r="Q24" s="346">
        <v>174.50751000000002</v>
      </c>
      <c r="R24" s="334"/>
      <c r="S24" s="327"/>
      <c r="T24" s="327"/>
      <c r="U24" s="327"/>
      <c r="V24" s="327"/>
      <c r="W24" s="327"/>
    </row>
    <row r="25" spans="1:23" s="247" customFormat="1" ht="20.100000000000001" customHeight="1" x14ac:dyDescent="0.25">
      <c r="A25" s="340" t="s">
        <v>991</v>
      </c>
      <c r="B25" s="341" t="s">
        <v>1369</v>
      </c>
      <c r="C25" s="342">
        <f t="shared" si="4"/>
        <v>19</v>
      </c>
      <c r="D25" s="343">
        <v>16</v>
      </c>
      <c r="E25" s="343">
        <v>3</v>
      </c>
      <c r="F25" s="344">
        <v>9</v>
      </c>
      <c r="G25" s="345">
        <f t="shared" si="5"/>
        <v>2162.6392076000002</v>
      </c>
      <c r="H25" s="346">
        <f t="shared" si="6"/>
        <v>2034.5015000000001</v>
      </c>
      <c r="I25" s="345">
        <f>(48.48+2+6.929)*1.8*12</f>
        <v>1240.0344</v>
      </c>
      <c r="J25" s="346">
        <f>(48.48+2+6.929+0.285+4.981)*1.8*23.5%*12</f>
        <v>318.13829999999996</v>
      </c>
      <c r="K25" s="346">
        <f>(0.285+4.981+0.1+16.177)*1.8*12</f>
        <v>465.3288</v>
      </c>
      <c r="L25" s="346">
        <f>9.5+1.5</f>
        <v>11</v>
      </c>
      <c r="M25" s="346">
        <v>108</v>
      </c>
      <c r="N25" s="347">
        <v>126.684</v>
      </c>
      <c r="O25" s="345"/>
      <c r="P25" s="345"/>
      <c r="Q25" s="346">
        <v>128.1377076</v>
      </c>
      <c r="R25" s="334"/>
      <c r="S25" s="327"/>
      <c r="T25" s="327"/>
      <c r="U25" s="327"/>
      <c r="V25" s="327"/>
      <c r="W25" s="327"/>
    </row>
    <row r="26" spans="1:23" s="247" customFormat="1" ht="20.100000000000001" customHeight="1" x14ac:dyDescent="0.25">
      <c r="A26" s="340" t="s">
        <v>1308</v>
      </c>
      <c r="B26" s="341" t="s">
        <v>1370</v>
      </c>
      <c r="C26" s="342">
        <f t="shared" si="4"/>
        <v>18</v>
      </c>
      <c r="D26" s="343">
        <v>16</v>
      </c>
      <c r="E26" s="343">
        <v>2</v>
      </c>
      <c r="F26" s="344">
        <v>8</v>
      </c>
      <c r="G26" s="345">
        <f t="shared" si="5"/>
        <v>2083.5938180000003</v>
      </c>
      <c r="H26" s="346">
        <f t="shared" si="6"/>
        <v>1956.1844108000005</v>
      </c>
      <c r="I26" s="345">
        <f>(46.96+2+3.612)*1.8*12</f>
        <v>1135.5552000000002</v>
      </c>
      <c r="J26" s="346">
        <f>(46.96+2+3.612+4.9863)*1.8*23.5%*12</f>
        <v>292.16593080000001</v>
      </c>
      <c r="K26" s="346">
        <f>(4.9863+0.1+15.862)*1.8*12</f>
        <v>452.48328000000004</v>
      </c>
      <c r="L26" s="346">
        <f>9+5</f>
        <v>14</v>
      </c>
      <c r="M26" s="346">
        <v>96</v>
      </c>
      <c r="N26" s="347">
        <v>34.019999999999996</v>
      </c>
      <c r="O26" s="345">
        <f t="shared" si="7"/>
        <v>61.980000000000004</v>
      </c>
      <c r="P26" s="345"/>
      <c r="Q26" s="346">
        <v>127.40940720000003</v>
      </c>
      <c r="R26" s="334"/>
      <c r="S26" s="327"/>
      <c r="T26" s="327"/>
      <c r="U26" s="327"/>
      <c r="V26" s="327"/>
      <c r="W26" s="327"/>
    </row>
    <row r="27" spans="1:23" s="247" customFormat="1" ht="20.100000000000001" customHeight="1" x14ac:dyDescent="0.25">
      <c r="A27" s="340" t="s">
        <v>1340</v>
      </c>
      <c r="B27" s="341" t="s">
        <v>1371</v>
      </c>
      <c r="C27" s="342">
        <f t="shared" si="4"/>
        <v>25</v>
      </c>
      <c r="D27" s="343">
        <v>24</v>
      </c>
      <c r="E27" s="343">
        <v>1</v>
      </c>
      <c r="F27" s="344">
        <v>9</v>
      </c>
      <c r="G27" s="345">
        <f t="shared" si="5"/>
        <v>3000.053766</v>
      </c>
      <c r="H27" s="346">
        <f t="shared" si="6"/>
        <v>2831.5462560000001</v>
      </c>
      <c r="I27" s="345">
        <f>(71.64+2.15+2.434)*1.8*12</f>
        <v>1646.4384</v>
      </c>
      <c r="J27" s="346">
        <f>(71.64+2.15+2.434+7.132)*1.8*23.5%*12</f>
        <v>423.11505599999998</v>
      </c>
      <c r="K27" s="346">
        <f>(7.132+0.1+24.696)*1.8*12</f>
        <v>689.64480000000003</v>
      </c>
      <c r="L27" s="346">
        <f>12.5+2.5</f>
        <v>15</v>
      </c>
      <c r="M27" s="346">
        <v>108</v>
      </c>
      <c r="N27" s="347">
        <v>50.652000000000001</v>
      </c>
      <c r="O27" s="345">
        <f t="shared" si="7"/>
        <v>57.347999999999999</v>
      </c>
      <c r="P27" s="345"/>
      <c r="Q27" s="346">
        <v>168.50751000000002</v>
      </c>
      <c r="R27" s="334"/>
      <c r="S27" s="327"/>
      <c r="T27" s="327"/>
      <c r="U27" s="327"/>
      <c r="V27" s="327"/>
      <c r="W27" s="327"/>
    </row>
    <row r="28" spans="1:23" s="247" customFormat="1" ht="20.100000000000001" customHeight="1" x14ac:dyDescent="0.25">
      <c r="A28" s="340" t="s">
        <v>1341</v>
      </c>
      <c r="B28" s="341" t="s">
        <v>1372</v>
      </c>
      <c r="C28" s="342">
        <f t="shared" si="4"/>
        <v>23</v>
      </c>
      <c r="D28" s="343">
        <v>21</v>
      </c>
      <c r="E28" s="343">
        <v>2</v>
      </c>
      <c r="F28" s="344">
        <v>10</v>
      </c>
      <c r="G28" s="345">
        <f t="shared" si="5"/>
        <v>2777.7321852000005</v>
      </c>
      <c r="H28" s="346">
        <f t="shared" si="6"/>
        <v>2619.6812760000003</v>
      </c>
      <c r="I28" s="345">
        <f>(62.77+2+5.755)*1.8*12</f>
        <v>1523.3400000000001</v>
      </c>
      <c r="J28" s="346">
        <f>(62.77+2+5.755+6.676)*1.8*23.5%*12</f>
        <v>391.87227599999994</v>
      </c>
      <c r="K28" s="346">
        <f>(6.676+0.1+21.434)*1.8*12</f>
        <v>609.33600000000001</v>
      </c>
      <c r="L28" s="346">
        <f>11.5+2</f>
        <v>13.5</v>
      </c>
      <c r="M28" s="346">
        <v>120</v>
      </c>
      <c r="N28" s="347">
        <v>38.367000000000004</v>
      </c>
      <c r="O28" s="345">
        <f t="shared" si="7"/>
        <v>81.632999999999996</v>
      </c>
      <c r="P28" s="345"/>
      <c r="Q28" s="346">
        <v>158.05090920000004</v>
      </c>
      <c r="R28" s="334"/>
      <c r="S28" s="327"/>
      <c r="T28" s="327"/>
      <c r="U28" s="327"/>
      <c r="V28" s="327"/>
      <c r="W28" s="327"/>
    </row>
    <row r="29" spans="1:23" s="247" customFormat="1" ht="20.100000000000001" customHeight="1" x14ac:dyDescent="0.25">
      <c r="A29" s="340" t="s">
        <v>1373</v>
      </c>
      <c r="B29" s="341" t="s">
        <v>1374</v>
      </c>
      <c r="C29" s="342">
        <f t="shared" si="4"/>
        <v>24</v>
      </c>
      <c r="D29" s="343">
        <v>22</v>
      </c>
      <c r="E29" s="343">
        <v>2</v>
      </c>
      <c r="F29" s="344">
        <v>11</v>
      </c>
      <c r="G29" s="345">
        <f t="shared" si="5"/>
        <v>2863.4590055999997</v>
      </c>
      <c r="H29" s="346">
        <f t="shared" si="6"/>
        <v>2695.6797959999999</v>
      </c>
      <c r="I29" s="345">
        <f>(64.945+2.15+3.611)*1.8*12</f>
        <v>1527.2496000000001</v>
      </c>
      <c r="J29" s="346">
        <f>(64.945+2.15+3.611+8.115)*1.8*23.5%*12</f>
        <v>400.09539599999994</v>
      </c>
      <c r="K29" s="346">
        <f>(8.115+0.1+23.088)*1.8*12</f>
        <v>676.14480000000003</v>
      </c>
      <c r="L29" s="346">
        <f>12+3</f>
        <v>15</v>
      </c>
      <c r="M29" s="346">
        <v>132</v>
      </c>
      <c r="N29" s="347">
        <v>54.81</v>
      </c>
      <c r="O29" s="345">
        <f t="shared" si="7"/>
        <v>77.19</v>
      </c>
      <c r="P29" s="345"/>
      <c r="Q29" s="346">
        <v>167.77920960000003</v>
      </c>
      <c r="R29" s="334"/>
      <c r="S29" s="327"/>
      <c r="T29" s="327"/>
      <c r="U29" s="327"/>
      <c r="V29" s="327"/>
      <c r="W29" s="327"/>
    </row>
    <row r="30" spans="1:23" s="247" customFormat="1" ht="20.100000000000001" customHeight="1" x14ac:dyDescent="0.25">
      <c r="A30" s="340" t="s">
        <v>1375</v>
      </c>
      <c r="B30" s="341" t="s">
        <v>1376</v>
      </c>
      <c r="C30" s="342">
        <f t="shared" si="4"/>
        <v>22</v>
      </c>
      <c r="D30" s="343">
        <v>19</v>
      </c>
      <c r="E30" s="343">
        <v>3</v>
      </c>
      <c r="F30" s="344">
        <v>11</v>
      </c>
      <c r="G30" s="345">
        <f t="shared" si="5"/>
        <v>2420.3079608000003</v>
      </c>
      <c r="H30" s="346">
        <f t="shared" si="6"/>
        <v>2265.9853520000001</v>
      </c>
      <c r="I30" s="345">
        <f>(51.4+1.95+8.32)*1.8*12</f>
        <v>1332.0720000000001</v>
      </c>
      <c r="J30" s="346">
        <f>(51.4+1.95+8.32+4.532)*1.8*23.5%*12</f>
        <v>336.04135200000002</v>
      </c>
      <c r="K30" s="346">
        <f>(4.532+0.2+18.673)*1.8*12</f>
        <v>505.548</v>
      </c>
      <c r="L30" s="346">
        <f>11+3</f>
        <v>14</v>
      </c>
      <c r="M30" s="346">
        <v>132</v>
      </c>
      <c r="N30" s="347">
        <v>53.676000000000002</v>
      </c>
      <c r="O30" s="345">
        <f t="shared" si="7"/>
        <v>78.323999999999998</v>
      </c>
      <c r="P30" s="345"/>
      <c r="Q30" s="346">
        <v>154.32260880000001</v>
      </c>
      <c r="R30" s="334"/>
      <c r="S30" s="327"/>
      <c r="T30" s="327"/>
      <c r="U30" s="327"/>
      <c r="V30" s="327"/>
      <c r="W30" s="327"/>
    </row>
    <row r="31" spans="1:23" s="247" customFormat="1" ht="20.100000000000001" customHeight="1" x14ac:dyDescent="0.25">
      <c r="A31" s="340" t="s">
        <v>1377</v>
      </c>
      <c r="B31" s="341" t="s">
        <v>1378</v>
      </c>
      <c r="C31" s="342">
        <f t="shared" si="4"/>
        <v>14</v>
      </c>
      <c r="D31" s="343">
        <v>11</v>
      </c>
      <c r="E31" s="343">
        <v>3</v>
      </c>
      <c r="F31" s="344">
        <v>6</v>
      </c>
      <c r="G31" s="345">
        <f t="shared" si="5"/>
        <v>1710.3885975999997</v>
      </c>
      <c r="H31" s="346">
        <f t="shared" si="6"/>
        <v>1616.1923919999997</v>
      </c>
      <c r="I31" s="345">
        <f>(34.91+1+7.275)*1.8*12</f>
        <v>932.79599999999982</v>
      </c>
      <c r="J31" s="346">
        <f>(34.91+1+7.275+0.24+5.467)*1.8*23.5%*12</f>
        <v>248.175792</v>
      </c>
      <c r="K31" s="346">
        <f>(0.24+5.467+0.1+11.919)*1.8*12</f>
        <v>382.88159999999999</v>
      </c>
      <c r="L31" s="346">
        <f>7+1.5</f>
        <v>8.5</v>
      </c>
      <c r="M31" s="346">
        <v>72</v>
      </c>
      <c r="N31" s="347">
        <v>28.161000000000005</v>
      </c>
      <c r="O31" s="345">
        <f t="shared" si="7"/>
        <v>43.838999999999999</v>
      </c>
      <c r="P31" s="345"/>
      <c r="Q31" s="346">
        <v>94.196205600000013</v>
      </c>
      <c r="R31" s="334"/>
      <c r="S31" s="327"/>
      <c r="T31" s="327"/>
      <c r="U31" s="327"/>
      <c r="V31" s="327"/>
      <c r="W31" s="327"/>
    </row>
    <row r="32" spans="1:23" s="246" customFormat="1" ht="20.100000000000001" customHeight="1" x14ac:dyDescent="0.25">
      <c r="A32" s="349" t="s">
        <v>70</v>
      </c>
      <c r="B32" s="350" t="s">
        <v>1379</v>
      </c>
      <c r="C32" s="337">
        <f t="shared" ref="C32:P32" si="8">SUM(C33:C66)</f>
        <v>920</v>
      </c>
      <c r="D32" s="337">
        <f t="shared" si="8"/>
        <v>883</v>
      </c>
      <c r="E32" s="337">
        <f t="shared" si="8"/>
        <v>37</v>
      </c>
      <c r="F32" s="337">
        <f t="shared" ref="F32" si="9">SUM(F33:F66)</f>
        <v>585</v>
      </c>
      <c r="G32" s="334">
        <f>SUM(G33:G66)</f>
        <v>151224.71416639996</v>
      </c>
      <c r="H32" s="334">
        <f t="shared" si="8"/>
        <v>146533.95779839999</v>
      </c>
      <c r="I32" s="334">
        <f t="shared" si="8"/>
        <v>76538.628000000012</v>
      </c>
      <c r="J32" s="334">
        <f t="shared" si="8"/>
        <v>21774.407558399998</v>
      </c>
      <c r="K32" s="334">
        <f t="shared" si="8"/>
        <v>41080.422240000007</v>
      </c>
      <c r="L32" s="334">
        <f t="shared" si="8"/>
        <v>471.5</v>
      </c>
      <c r="M32" s="334">
        <f t="shared" si="8"/>
        <v>6668.9999999999991</v>
      </c>
      <c r="N32" s="334">
        <f t="shared" si="8"/>
        <v>0</v>
      </c>
      <c r="O32" s="334">
        <f t="shared" si="8"/>
        <v>6668.9999999999991</v>
      </c>
      <c r="P32" s="334">
        <f t="shared" si="8"/>
        <v>0</v>
      </c>
      <c r="Q32" s="334">
        <f>SUM(Q33:Q66)</f>
        <v>4690.7563680000003</v>
      </c>
      <c r="R32" s="334"/>
      <c r="S32" s="326"/>
      <c r="T32" s="329"/>
      <c r="U32" s="326"/>
      <c r="V32" s="326"/>
      <c r="W32" s="326"/>
    </row>
    <row r="33" spans="1:23" s="247" customFormat="1" ht="20.100000000000001" customHeight="1" x14ac:dyDescent="0.25">
      <c r="A33" s="340" t="s">
        <v>1380</v>
      </c>
      <c r="B33" s="341" t="s">
        <v>1381</v>
      </c>
      <c r="C33" s="342">
        <f t="shared" ref="C33:C66" si="10">SUM(D33:E33)</f>
        <v>17</v>
      </c>
      <c r="D33" s="343">
        <v>17</v>
      </c>
      <c r="E33" s="343"/>
      <c r="F33" s="344">
        <v>10</v>
      </c>
      <c r="G33" s="345">
        <f t="shared" ref="G33:G66" si="11">H33+Q33</f>
        <v>2933.5992348</v>
      </c>
      <c r="H33" s="346">
        <f t="shared" ref="H33:H66" si="12">SUM(I33:L33)+O33</f>
        <v>2821.198128</v>
      </c>
      <c r="I33" s="345">
        <f>(66.96+1.35)*1.8*12</f>
        <v>1475.4959999999999</v>
      </c>
      <c r="J33" s="346">
        <f>(66.96+1.35+0.903+14.015)*1.8*23.5%*12</f>
        <v>422.46532799999989</v>
      </c>
      <c r="K33" s="346">
        <f>(0.903+14.015+0.2+21.93)*1.8*12</f>
        <v>800.23680000000013</v>
      </c>
      <c r="L33" s="346">
        <f>8.5+0.5</f>
        <v>9</v>
      </c>
      <c r="M33" s="346">
        <v>114</v>
      </c>
      <c r="N33" s="351">
        <v>0</v>
      </c>
      <c r="O33" s="345">
        <f t="shared" si="7"/>
        <v>114</v>
      </c>
      <c r="P33" s="345"/>
      <c r="Q33" s="346">
        <v>112.40110680000002</v>
      </c>
      <c r="R33" s="345"/>
      <c r="S33" s="327"/>
      <c r="T33" s="327"/>
      <c r="U33" s="327"/>
      <c r="V33" s="327"/>
      <c r="W33" s="327"/>
    </row>
    <row r="34" spans="1:23" s="247" customFormat="1" ht="20.100000000000001" customHeight="1" x14ac:dyDescent="0.25">
      <c r="A34" s="340" t="s">
        <v>1382</v>
      </c>
      <c r="B34" s="341" t="s">
        <v>1383</v>
      </c>
      <c r="C34" s="342">
        <f t="shared" si="10"/>
        <v>38</v>
      </c>
      <c r="D34" s="343">
        <v>37</v>
      </c>
      <c r="E34" s="343">
        <v>1</v>
      </c>
      <c r="F34" s="344">
        <v>29</v>
      </c>
      <c r="G34" s="345">
        <f t="shared" si="11"/>
        <v>6227.1086951999996</v>
      </c>
      <c r="H34" s="346">
        <f t="shared" si="12"/>
        <v>6031.0252799999998</v>
      </c>
      <c r="I34" s="345">
        <f>(134.439+2.8+3.119)*1.8*12</f>
        <v>3031.7328000000002</v>
      </c>
      <c r="J34" s="346">
        <f>(134.439+2.8+3.119+2.804+29.718)*1.8*23.5%*12</f>
        <v>877.53888000000006</v>
      </c>
      <c r="K34" s="346">
        <f>(2.804+29.718+0.4+49.099)*1.8*12</f>
        <v>1771.6535999999996</v>
      </c>
      <c r="L34" s="346">
        <f>19+0.5</f>
        <v>19.5</v>
      </c>
      <c r="M34" s="346">
        <v>330.59999999999997</v>
      </c>
      <c r="N34" s="351">
        <v>0</v>
      </c>
      <c r="O34" s="345">
        <f t="shared" si="7"/>
        <v>330.59999999999997</v>
      </c>
      <c r="P34" s="345"/>
      <c r="Q34" s="346">
        <v>196.08341520000002</v>
      </c>
      <c r="R34" s="345"/>
      <c r="S34" s="327"/>
      <c r="T34" s="327"/>
      <c r="U34" s="327"/>
      <c r="V34" s="327"/>
      <c r="W34" s="327"/>
    </row>
    <row r="35" spans="1:23" s="247" customFormat="1" ht="20.100000000000001" customHeight="1" x14ac:dyDescent="0.25">
      <c r="A35" s="340" t="s">
        <v>1384</v>
      </c>
      <c r="B35" s="341" t="s">
        <v>1385</v>
      </c>
      <c r="C35" s="342">
        <f t="shared" si="10"/>
        <v>32</v>
      </c>
      <c r="D35" s="343">
        <v>31</v>
      </c>
      <c r="E35" s="343">
        <v>1</v>
      </c>
      <c r="F35" s="344">
        <v>23</v>
      </c>
      <c r="G35" s="345">
        <f t="shared" si="11"/>
        <v>5968.8567648000007</v>
      </c>
      <c r="H35" s="346">
        <f t="shared" si="12"/>
        <v>5803.855152000001</v>
      </c>
      <c r="I35" s="345">
        <f>(129.149+2.1+2.693)*1.8*12</f>
        <v>2893.1472000000003</v>
      </c>
      <c r="J35" s="346">
        <f>(129.149+2.1+2.693+4.949+32.161)*1.8*23.5%*12</f>
        <v>868.25995200000011</v>
      </c>
      <c r="K35" s="346">
        <f>(4.949+32.161+0.1+44.445)*1.8*12</f>
        <v>1763.748</v>
      </c>
      <c r="L35" s="346">
        <f>16+0.5</f>
        <v>16.5</v>
      </c>
      <c r="M35" s="346">
        <v>262.2</v>
      </c>
      <c r="N35" s="351">
        <v>0</v>
      </c>
      <c r="O35" s="345">
        <f t="shared" si="7"/>
        <v>262.2</v>
      </c>
      <c r="P35" s="345"/>
      <c r="Q35" s="346">
        <v>165.00161280000003</v>
      </c>
      <c r="R35" s="345"/>
      <c r="S35" s="327"/>
      <c r="T35" s="327"/>
      <c r="U35" s="327"/>
      <c r="V35" s="327"/>
      <c r="W35" s="327"/>
    </row>
    <row r="36" spans="1:23" s="247" customFormat="1" ht="20.100000000000001" customHeight="1" x14ac:dyDescent="0.25">
      <c r="A36" s="340" t="s">
        <v>1386</v>
      </c>
      <c r="B36" s="341" t="s">
        <v>1387</v>
      </c>
      <c r="C36" s="342">
        <f t="shared" si="10"/>
        <v>25</v>
      </c>
      <c r="D36" s="343">
        <v>24</v>
      </c>
      <c r="E36" s="343">
        <v>1</v>
      </c>
      <c r="F36" s="344">
        <v>18</v>
      </c>
      <c r="G36" s="345">
        <f t="shared" si="11"/>
        <v>4177.8022460000002</v>
      </c>
      <c r="H36" s="346">
        <f t="shared" si="12"/>
        <v>4019.1587359999999</v>
      </c>
      <c r="I36" s="345">
        <f>(91.518+2.2+1.805)*1.8*12</f>
        <v>2063.2968000000001</v>
      </c>
      <c r="J36" s="346">
        <f>(91.518+2.2+1.805+1.614+19.899)*1.8*23.5%*12</f>
        <v>594.07473600000003</v>
      </c>
      <c r="K36" s="346">
        <f>(1.614+19.899+0.3+31.154)*1.8*12</f>
        <v>1144.0871999999999</v>
      </c>
      <c r="L36" s="346">
        <v>12.5</v>
      </c>
      <c r="M36" s="346">
        <v>205.2</v>
      </c>
      <c r="N36" s="351">
        <v>0</v>
      </c>
      <c r="O36" s="345">
        <f t="shared" si="7"/>
        <v>205.2</v>
      </c>
      <c r="P36" s="345"/>
      <c r="Q36" s="346">
        <v>158.64351000000002</v>
      </c>
      <c r="R36" s="345"/>
      <c r="S36" s="327"/>
      <c r="T36" s="327"/>
      <c r="U36" s="327"/>
      <c r="V36" s="327"/>
      <c r="W36" s="327"/>
    </row>
    <row r="37" spans="1:23" s="247" customFormat="1" ht="20.100000000000001" customHeight="1" x14ac:dyDescent="0.25">
      <c r="A37" s="340" t="s">
        <v>1388</v>
      </c>
      <c r="B37" s="341" t="s">
        <v>1389</v>
      </c>
      <c r="C37" s="342">
        <f t="shared" si="10"/>
        <v>33</v>
      </c>
      <c r="D37" s="343">
        <v>32</v>
      </c>
      <c r="E37" s="343">
        <v>1</v>
      </c>
      <c r="F37" s="344">
        <v>20</v>
      </c>
      <c r="G37" s="345">
        <f t="shared" si="11"/>
        <v>5724.6150251999998</v>
      </c>
      <c r="H37" s="346">
        <f t="shared" si="12"/>
        <v>5559.0411119999999</v>
      </c>
      <c r="I37" s="345">
        <f>(127.35+2.25+2.22)*1.8*12</f>
        <v>2847.3119999999999</v>
      </c>
      <c r="J37" s="346">
        <f>(127.35+2.25+2.22+2.183+29.259)*1.8*23.5%*12</f>
        <v>828.71791200000007</v>
      </c>
      <c r="K37" s="346">
        <f>(2.183+29.259+0.2+44.215)*1.8*12</f>
        <v>1638.5111999999999</v>
      </c>
      <c r="L37" s="346">
        <v>16.5</v>
      </c>
      <c r="M37" s="346">
        <v>228</v>
      </c>
      <c r="N37" s="351">
        <v>0</v>
      </c>
      <c r="O37" s="345">
        <f t="shared" si="7"/>
        <v>228</v>
      </c>
      <c r="P37" s="345"/>
      <c r="Q37" s="346">
        <v>165.57391320000002</v>
      </c>
      <c r="R37" s="345"/>
      <c r="S37" s="327"/>
      <c r="T37" s="327"/>
      <c r="U37" s="327"/>
      <c r="V37" s="327"/>
      <c r="W37" s="327"/>
    </row>
    <row r="38" spans="1:23" s="247" customFormat="1" ht="20.100000000000001" customHeight="1" x14ac:dyDescent="0.25">
      <c r="A38" s="340" t="s">
        <v>1390</v>
      </c>
      <c r="B38" s="341" t="s">
        <v>1391</v>
      </c>
      <c r="C38" s="342">
        <f t="shared" si="10"/>
        <v>22</v>
      </c>
      <c r="D38" s="343">
        <v>21</v>
      </c>
      <c r="E38" s="343">
        <v>1</v>
      </c>
      <c r="F38" s="344">
        <v>15</v>
      </c>
      <c r="G38" s="345">
        <f t="shared" si="11"/>
        <v>3480.6439492000004</v>
      </c>
      <c r="H38" s="346">
        <f t="shared" si="12"/>
        <v>3365.1413404000004</v>
      </c>
      <c r="I38" s="345">
        <f>(77.358+1.75+1.805)*1.8*12</f>
        <v>1747.7208000000001</v>
      </c>
      <c r="J38" s="346">
        <f>(77.358+1.75+1.805+1.705+15.0399)*1.8*23.5%*12</f>
        <v>495.71150040000003</v>
      </c>
      <c r="K38" s="346">
        <f>(1.705+15.0399+0.1+26.637)*1.8*12</f>
        <v>939.20903999999996</v>
      </c>
      <c r="L38" s="346">
        <f>11+0.5</f>
        <v>11.5</v>
      </c>
      <c r="M38" s="346">
        <v>171</v>
      </c>
      <c r="N38" s="351">
        <v>0</v>
      </c>
      <c r="O38" s="345">
        <f t="shared" si="7"/>
        <v>171</v>
      </c>
      <c r="P38" s="345"/>
      <c r="Q38" s="346">
        <v>115.50260880000003</v>
      </c>
      <c r="R38" s="345"/>
      <c r="S38" s="327"/>
      <c r="T38" s="327"/>
      <c r="U38" s="327"/>
      <c r="V38" s="327"/>
      <c r="W38" s="327"/>
    </row>
    <row r="39" spans="1:23" s="247" customFormat="1" ht="20.100000000000001" customHeight="1" x14ac:dyDescent="0.25">
      <c r="A39" s="340" t="s">
        <v>1392</v>
      </c>
      <c r="B39" s="341" t="s">
        <v>1393</v>
      </c>
      <c r="C39" s="342">
        <f t="shared" si="10"/>
        <v>21</v>
      </c>
      <c r="D39" s="343">
        <v>20</v>
      </c>
      <c r="E39" s="343">
        <v>1</v>
      </c>
      <c r="F39" s="344">
        <v>13</v>
      </c>
      <c r="G39" s="345">
        <f t="shared" si="11"/>
        <v>3463.6407723999996</v>
      </c>
      <c r="H39" s="346">
        <f t="shared" si="12"/>
        <v>3354.4704639999995</v>
      </c>
      <c r="I39" s="345">
        <f>(76.98+1.55+1.805)*1.8*12</f>
        <v>1735.2360000000001</v>
      </c>
      <c r="J39" s="346">
        <f>(76.98+1.55+1.805+1.743+16.586)*1.8*23.5%*12</f>
        <v>500.81846399999995</v>
      </c>
      <c r="K39" s="346">
        <f>(1.743+16.586+0.2+25.856)*1.8*12</f>
        <v>958.71600000000001</v>
      </c>
      <c r="L39" s="346">
        <f>10.5+1</f>
        <v>11.5</v>
      </c>
      <c r="M39" s="346">
        <v>148.19999999999999</v>
      </c>
      <c r="N39" s="351">
        <v>0</v>
      </c>
      <c r="O39" s="345">
        <f t="shared" si="7"/>
        <v>148.19999999999999</v>
      </c>
      <c r="P39" s="345"/>
      <c r="Q39" s="346">
        <v>109.17030840000002</v>
      </c>
      <c r="R39" s="345"/>
      <c r="S39" s="327"/>
      <c r="T39" s="327"/>
      <c r="U39" s="327"/>
      <c r="V39" s="327"/>
      <c r="W39" s="327"/>
    </row>
    <row r="40" spans="1:23" s="247" customFormat="1" ht="20.100000000000001" customHeight="1" x14ac:dyDescent="0.25">
      <c r="A40" s="340" t="s">
        <v>1394</v>
      </c>
      <c r="B40" s="341" t="s">
        <v>1395</v>
      </c>
      <c r="C40" s="342">
        <f t="shared" si="10"/>
        <v>23</v>
      </c>
      <c r="D40" s="343">
        <v>23</v>
      </c>
      <c r="E40" s="343"/>
      <c r="F40" s="344">
        <v>18</v>
      </c>
      <c r="G40" s="345">
        <f t="shared" si="11"/>
        <v>3689.9813652000003</v>
      </c>
      <c r="H40" s="346">
        <f t="shared" si="12"/>
        <v>3574.1944560000002</v>
      </c>
      <c r="I40" s="345">
        <f>(81.26+1.9)*1.8*12</f>
        <v>1796.2560000000003</v>
      </c>
      <c r="J40" s="346">
        <f>(81.26+1.9+2.449+16.597)*1.8*23.5%*12</f>
        <v>518.79765600000007</v>
      </c>
      <c r="K40" s="346">
        <f>(2.449+16.597+0.3+28.892)*1.8*12</f>
        <v>1041.9408000000001</v>
      </c>
      <c r="L40" s="346">
        <f>11.5+0.5</f>
        <v>12</v>
      </c>
      <c r="M40" s="346">
        <v>205.2</v>
      </c>
      <c r="N40" s="351">
        <v>0</v>
      </c>
      <c r="O40" s="345">
        <f t="shared" si="7"/>
        <v>205.2</v>
      </c>
      <c r="P40" s="345"/>
      <c r="Q40" s="346">
        <v>115.78690920000003</v>
      </c>
      <c r="R40" s="345"/>
      <c r="S40" s="327"/>
      <c r="T40" s="327"/>
      <c r="U40" s="327"/>
      <c r="V40" s="327"/>
      <c r="W40" s="327"/>
    </row>
    <row r="41" spans="1:23" s="247" customFormat="1" ht="20.100000000000001" customHeight="1" x14ac:dyDescent="0.25">
      <c r="A41" s="340" t="s">
        <v>1396</v>
      </c>
      <c r="B41" s="341" t="s">
        <v>1397</v>
      </c>
      <c r="C41" s="342">
        <f t="shared" si="10"/>
        <v>20</v>
      </c>
      <c r="D41" s="343">
        <v>18</v>
      </c>
      <c r="E41" s="343">
        <v>2</v>
      </c>
      <c r="F41" s="344">
        <v>17</v>
      </c>
      <c r="G41" s="345">
        <f t="shared" si="11"/>
        <v>3301.0761711999999</v>
      </c>
      <c r="H41" s="346">
        <f t="shared" si="12"/>
        <v>3191.3261631999999</v>
      </c>
      <c r="I41" s="345">
        <f>(70.55+1.55+3.676)*1.8*12</f>
        <v>1636.7615999999998</v>
      </c>
      <c r="J41" s="346">
        <f>(70.55+1.55+3.676+0.7732+14.654)*1.8*23.5%*12</f>
        <v>462.94744319999995</v>
      </c>
      <c r="K41" s="346">
        <f>(0.7732+14.654+0.1+25.506)*1.8*12</f>
        <v>886.31712000000016</v>
      </c>
      <c r="L41" s="346">
        <f>10+1.5</f>
        <v>11.5</v>
      </c>
      <c r="M41" s="346">
        <v>193.79999999999998</v>
      </c>
      <c r="N41" s="351">
        <v>0</v>
      </c>
      <c r="O41" s="345">
        <f t="shared" si="7"/>
        <v>193.79999999999998</v>
      </c>
      <c r="P41" s="345"/>
      <c r="Q41" s="346">
        <v>109.75000800000002</v>
      </c>
      <c r="R41" s="345"/>
      <c r="S41" s="327"/>
      <c r="T41" s="327"/>
      <c r="U41" s="327"/>
      <c r="V41" s="327"/>
      <c r="W41" s="327"/>
    </row>
    <row r="42" spans="1:23" s="247" customFormat="1" ht="20.100000000000001" customHeight="1" x14ac:dyDescent="0.25">
      <c r="A42" s="340" t="s">
        <v>1398</v>
      </c>
      <c r="B42" s="341" t="s">
        <v>1399</v>
      </c>
      <c r="C42" s="342">
        <f t="shared" si="10"/>
        <v>31</v>
      </c>
      <c r="D42" s="343">
        <v>30</v>
      </c>
      <c r="E42" s="343">
        <v>1</v>
      </c>
      <c r="F42" s="344">
        <v>17</v>
      </c>
      <c r="G42" s="345">
        <f t="shared" si="11"/>
        <v>4699.9361404000001</v>
      </c>
      <c r="H42" s="346">
        <f t="shared" si="12"/>
        <v>4545.874828</v>
      </c>
      <c r="I42" s="345">
        <f>(2.399+107.64+2.1)*1.8*12</f>
        <v>2422.2024000000001</v>
      </c>
      <c r="J42" s="346">
        <f>(2.399+107.64+2.1+0.84+19.124)*1.8*23.5%*12</f>
        <v>670.55482799999993</v>
      </c>
      <c r="K42" s="346">
        <f>(0.84+19.124+1.2+36.397)*1.8*12</f>
        <v>1243.3175999999999</v>
      </c>
      <c r="L42" s="346">
        <f>15.5+0.5</f>
        <v>16</v>
      </c>
      <c r="M42" s="346">
        <v>193.79999999999998</v>
      </c>
      <c r="N42" s="351">
        <v>0</v>
      </c>
      <c r="O42" s="345">
        <f t="shared" si="7"/>
        <v>193.79999999999998</v>
      </c>
      <c r="P42" s="345"/>
      <c r="Q42" s="346">
        <v>154.06131240000005</v>
      </c>
      <c r="R42" s="345"/>
      <c r="S42" s="327"/>
      <c r="T42" s="327"/>
      <c r="U42" s="327"/>
      <c r="V42" s="327"/>
      <c r="W42" s="327"/>
    </row>
    <row r="43" spans="1:23" s="247" customFormat="1" ht="20.100000000000001" customHeight="1" x14ac:dyDescent="0.25">
      <c r="A43" s="340" t="s">
        <v>1400</v>
      </c>
      <c r="B43" s="341" t="s">
        <v>1401</v>
      </c>
      <c r="C43" s="342">
        <f t="shared" si="10"/>
        <v>31</v>
      </c>
      <c r="D43" s="343">
        <v>30</v>
      </c>
      <c r="E43" s="343">
        <v>1</v>
      </c>
      <c r="F43" s="344">
        <v>18</v>
      </c>
      <c r="G43" s="345">
        <f t="shared" si="11"/>
        <v>4774.4051164000002</v>
      </c>
      <c r="H43" s="346">
        <f t="shared" si="12"/>
        <v>4626.3918039999999</v>
      </c>
      <c r="I43" s="345">
        <f>(107.34+2.1+3.12)*1.8*12</f>
        <v>2431.2960000000003</v>
      </c>
      <c r="J43" s="346">
        <f>(107.34+2.1+3.12+2.892+21.727)*1.8*23.5%*12</f>
        <v>696.320604</v>
      </c>
      <c r="K43" s="346">
        <f>(2.892+21.727+0.2+34.328)*1.8*12</f>
        <v>1277.5752000000002</v>
      </c>
      <c r="L43" s="346">
        <f>15.5+0.5</f>
        <v>16</v>
      </c>
      <c r="M43" s="346">
        <v>205.2</v>
      </c>
      <c r="N43" s="351">
        <v>0</v>
      </c>
      <c r="O43" s="345">
        <f t="shared" si="7"/>
        <v>205.2</v>
      </c>
      <c r="P43" s="345"/>
      <c r="Q43" s="346">
        <v>148.01331240000005</v>
      </c>
      <c r="R43" s="345"/>
      <c r="S43" s="327"/>
      <c r="T43" s="327"/>
      <c r="U43" s="327"/>
      <c r="V43" s="327"/>
      <c r="W43" s="327"/>
    </row>
    <row r="44" spans="1:23" s="247" customFormat="1" ht="20.100000000000001" customHeight="1" x14ac:dyDescent="0.25">
      <c r="A44" s="340" t="s">
        <v>1402</v>
      </c>
      <c r="B44" s="341" t="s">
        <v>1403</v>
      </c>
      <c r="C44" s="342">
        <f t="shared" si="10"/>
        <v>29</v>
      </c>
      <c r="D44" s="343">
        <v>28</v>
      </c>
      <c r="E44" s="343">
        <v>1</v>
      </c>
      <c r="F44" s="344">
        <v>17</v>
      </c>
      <c r="G44" s="345">
        <f t="shared" si="11"/>
        <v>3891.8494916</v>
      </c>
      <c r="H44" s="346">
        <f t="shared" si="12"/>
        <v>3745.8447799999999</v>
      </c>
      <c r="I44" s="345">
        <f>(90.404+2.1+2.759)*1.8*12</f>
        <v>2057.6808000000001</v>
      </c>
      <c r="J44" s="346">
        <f>(90.404+2.1+2.759+0.797+12.395)*1.8*23.5%*12</f>
        <v>550.51757999999984</v>
      </c>
      <c r="K44" s="346">
        <f>(0.797+12.395+0.2+29.587)*1.8*12</f>
        <v>928.34640000000002</v>
      </c>
      <c r="L44" s="346">
        <f>14.5+1</f>
        <v>15.5</v>
      </c>
      <c r="M44" s="346">
        <v>193.79999999999998</v>
      </c>
      <c r="N44" s="351">
        <v>0</v>
      </c>
      <c r="O44" s="345">
        <f t="shared" si="7"/>
        <v>193.79999999999998</v>
      </c>
      <c r="P44" s="345"/>
      <c r="Q44" s="346">
        <v>146.00471160000001</v>
      </c>
      <c r="R44" s="345"/>
      <c r="S44" s="327"/>
      <c r="T44" s="327"/>
      <c r="U44" s="327"/>
      <c r="V44" s="327"/>
      <c r="W44" s="327"/>
    </row>
    <row r="45" spans="1:23" s="247" customFormat="1" ht="20.100000000000001" customHeight="1" x14ac:dyDescent="0.25">
      <c r="A45" s="340" t="s">
        <v>1404</v>
      </c>
      <c r="B45" s="341" t="s">
        <v>1405</v>
      </c>
      <c r="C45" s="342">
        <f t="shared" si="10"/>
        <v>24</v>
      </c>
      <c r="D45" s="343">
        <v>23</v>
      </c>
      <c r="E45" s="343">
        <v>1</v>
      </c>
      <c r="F45" s="344">
        <v>14</v>
      </c>
      <c r="G45" s="345">
        <f t="shared" si="11"/>
        <v>3936.0425840000007</v>
      </c>
      <c r="H45" s="346">
        <f t="shared" si="12"/>
        <v>3820.8353744000005</v>
      </c>
      <c r="I45" s="345">
        <f>(1.805+91.29+1.75)*1.8*12</f>
        <v>2048.6520000000005</v>
      </c>
      <c r="J45" s="346">
        <f>(1.805+91.29+1.75+17.4594)*1.8*23.5%*12</f>
        <v>570.0571344</v>
      </c>
      <c r="K45" s="346">
        <f>(17.4594+0.2+30.027)*1.8*12</f>
        <v>1030.0262400000001</v>
      </c>
      <c r="L45" s="346">
        <f>12+0.5</f>
        <v>12.5</v>
      </c>
      <c r="M45" s="346">
        <v>159.6</v>
      </c>
      <c r="N45" s="351">
        <v>0</v>
      </c>
      <c r="O45" s="345">
        <f t="shared" si="7"/>
        <v>159.6</v>
      </c>
      <c r="P45" s="345"/>
      <c r="Q45" s="346">
        <v>115.20720960000003</v>
      </c>
      <c r="R45" s="345"/>
      <c r="S45" s="327"/>
      <c r="T45" s="327"/>
      <c r="U45" s="327"/>
      <c r="V45" s="327"/>
      <c r="W45" s="327"/>
    </row>
    <row r="46" spans="1:23" s="247" customFormat="1" ht="20.100000000000001" customHeight="1" x14ac:dyDescent="0.25">
      <c r="A46" s="340" t="s">
        <v>1406</v>
      </c>
      <c r="B46" s="341" t="s">
        <v>1407</v>
      </c>
      <c r="C46" s="342">
        <f t="shared" si="10"/>
        <v>24</v>
      </c>
      <c r="D46" s="343">
        <v>23</v>
      </c>
      <c r="E46" s="343">
        <v>1</v>
      </c>
      <c r="F46" s="344">
        <v>10</v>
      </c>
      <c r="G46" s="345">
        <f t="shared" si="11"/>
        <v>4273.1657415999998</v>
      </c>
      <c r="H46" s="346">
        <f t="shared" si="12"/>
        <v>4155.366532</v>
      </c>
      <c r="I46" s="345">
        <f>(3.552+93.69+1.55)*1.8*12</f>
        <v>2133.9072000000001</v>
      </c>
      <c r="J46" s="346">
        <f>(3.552+93.69+1.55+2.614+23.751)*1.8*23.5%*12</f>
        <v>635.29693199999997</v>
      </c>
      <c r="K46" s="346">
        <f>(2.614+23.751+0.2+31.799)*1.8*12</f>
        <v>1260.6624000000002</v>
      </c>
      <c r="L46" s="346">
        <v>11.5</v>
      </c>
      <c r="M46" s="346">
        <v>114</v>
      </c>
      <c r="N46" s="351">
        <v>0</v>
      </c>
      <c r="O46" s="345">
        <f t="shared" si="7"/>
        <v>114</v>
      </c>
      <c r="P46" s="345"/>
      <c r="Q46" s="346">
        <v>117.79920960000003</v>
      </c>
      <c r="R46" s="345"/>
      <c r="S46" s="327"/>
      <c r="T46" s="327"/>
      <c r="U46" s="327"/>
      <c r="V46" s="327"/>
      <c r="W46" s="327"/>
    </row>
    <row r="47" spans="1:23" s="247" customFormat="1" ht="20.100000000000001" customHeight="1" x14ac:dyDescent="0.25">
      <c r="A47" s="340" t="s">
        <v>1408</v>
      </c>
      <c r="B47" s="341" t="s">
        <v>1409</v>
      </c>
      <c r="C47" s="342">
        <f t="shared" si="10"/>
        <v>42</v>
      </c>
      <c r="D47" s="343">
        <v>40</v>
      </c>
      <c r="E47" s="343">
        <v>2</v>
      </c>
      <c r="F47" s="344">
        <v>28</v>
      </c>
      <c r="G47" s="345">
        <f t="shared" si="11"/>
        <v>6197.0682292000001</v>
      </c>
      <c r="H47" s="346">
        <f t="shared" si="12"/>
        <v>5986.0236124000003</v>
      </c>
      <c r="I47" s="345">
        <f>(5.481+137.118+2.85)*1.8*12</f>
        <v>3141.6984000000002</v>
      </c>
      <c r="J47" s="346">
        <f>(5.481+137.118+2.85+2.291+24.7899)*1.8*23.5%*12</f>
        <v>875.76177239999993</v>
      </c>
      <c r="K47" s="346">
        <f>(2.291+24.7899+0.6+47.66)*1.8*12</f>
        <v>1627.3634400000003</v>
      </c>
      <c r="L47" s="346">
        <f>20.5+1.5</f>
        <v>22</v>
      </c>
      <c r="M47" s="346">
        <v>319.2</v>
      </c>
      <c r="N47" s="351">
        <v>0</v>
      </c>
      <c r="O47" s="345">
        <f t="shared" si="7"/>
        <v>319.2</v>
      </c>
      <c r="P47" s="345"/>
      <c r="Q47" s="346">
        <v>211.04461680000003</v>
      </c>
      <c r="R47" s="345"/>
      <c r="S47" s="327"/>
      <c r="T47" s="327"/>
      <c r="U47" s="327"/>
      <c r="V47" s="327"/>
      <c r="W47" s="327"/>
    </row>
    <row r="48" spans="1:23" s="247" customFormat="1" ht="20.100000000000001" customHeight="1" x14ac:dyDescent="0.25">
      <c r="A48" s="340" t="s">
        <v>1410</v>
      </c>
      <c r="B48" s="341" t="s">
        <v>1411</v>
      </c>
      <c r="C48" s="342">
        <f t="shared" si="10"/>
        <v>19</v>
      </c>
      <c r="D48" s="343">
        <v>18</v>
      </c>
      <c r="E48" s="343">
        <v>1</v>
      </c>
      <c r="F48" s="344">
        <v>11</v>
      </c>
      <c r="G48" s="345">
        <f t="shared" si="11"/>
        <v>2972.6808556000001</v>
      </c>
      <c r="H48" s="346">
        <f t="shared" si="12"/>
        <v>2881.071148</v>
      </c>
      <c r="I48" s="345">
        <f>(3.632+67.029+1.3)*1.8*12</f>
        <v>1554.3575999999998</v>
      </c>
      <c r="J48" s="346">
        <f>(3.632+67.029+1.3+0.249+12.213)*1.8*23.5%*12</f>
        <v>428.53114799999992</v>
      </c>
      <c r="K48" s="346">
        <f>(0.249+12.213+0.2+22.652)*1.8*12</f>
        <v>762.78240000000005</v>
      </c>
      <c r="L48" s="346">
        <f>9.5+0.5</f>
        <v>10</v>
      </c>
      <c r="M48" s="346">
        <v>125.39999999999999</v>
      </c>
      <c r="N48" s="351">
        <v>0</v>
      </c>
      <c r="O48" s="345">
        <f t="shared" si="7"/>
        <v>125.39999999999999</v>
      </c>
      <c r="P48" s="345"/>
      <c r="Q48" s="346">
        <v>91.609707600000021</v>
      </c>
      <c r="R48" s="345"/>
      <c r="S48" s="327"/>
      <c r="T48" s="327"/>
      <c r="U48" s="327"/>
      <c r="V48" s="327"/>
      <c r="W48" s="327"/>
    </row>
    <row r="49" spans="1:23" s="247" customFormat="1" ht="20.100000000000001" customHeight="1" x14ac:dyDescent="0.25">
      <c r="A49" s="340" t="s">
        <v>1412</v>
      </c>
      <c r="B49" s="341" t="s">
        <v>1413</v>
      </c>
      <c r="C49" s="342">
        <f t="shared" si="10"/>
        <v>23</v>
      </c>
      <c r="D49" s="343">
        <v>22</v>
      </c>
      <c r="E49" s="343">
        <v>1</v>
      </c>
      <c r="F49" s="344">
        <v>12</v>
      </c>
      <c r="G49" s="345">
        <f t="shared" si="11"/>
        <v>3630.3416091999998</v>
      </c>
      <c r="H49" s="346">
        <f t="shared" si="12"/>
        <v>3521.4666999999999</v>
      </c>
      <c r="I49" s="345">
        <f>(83.068+1.55+3.48)*1.8*12</f>
        <v>1902.9168</v>
      </c>
      <c r="J49" s="346">
        <f>(83.068+1.55+3.48+1.085+15.392)*1.8*23.5%*12</f>
        <v>530.82269999999994</v>
      </c>
      <c r="K49" s="346">
        <f>(1.085+15.392+0.4+26.615)*1.8*12</f>
        <v>939.42720000000008</v>
      </c>
      <c r="L49" s="346">
        <v>11.5</v>
      </c>
      <c r="M49" s="346">
        <v>136.79999999999998</v>
      </c>
      <c r="N49" s="351">
        <v>0</v>
      </c>
      <c r="O49" s="345">
        <f t="shared" si="7"/>
        <v>136.79999999999998</v>
      </c>
      <c r="P49" s="345"/>
      <c r="Q49" s="346">
        <v>108.87490920000003</v>
      </c>
      <c r="R49" s="345"/>
      <c r="S49" s="327"/>
      <c r="T49" s="327"/>
      <c r="U49" s="327"/>
      <c r="V49" s="327"/>
      <c r="W49" s="327"/>
    </row>
    <row r="50" spans="1:23" s="247" customFormat="1" ht="20.100000000000001" customHeight="1" x14ac:dyDescent="0.25">
      <c r="A50" s="340" t="s">
        <v>1414</v>
      </c>
      <c r="B50" s="341" t="s">
        <v>1415</v>
      </c>
      <c r="C50" s="342">
        <f t="shared" si="10"/>
        <v>22</v>
      </c>
      <c r="D50" s="343">
        <v>21</v>
      </c>
      <c r="E50" s="343">
        <v>1</v>
      </c>
      <c r="F50" s="344">
        <v>13</v>
      </c>
      <c r="G50" s="345">
        <f t="shared" si="11"/>
        <v>3794.8040248000002</v>
      </c>
      <c r="H50" s="346">
        <f t="shared" si="12"/>
        <v>3688.8054160000002</v>
      </c>
      <c r="I50" s="345">
        <f>(84.249+3.117+1.75)*1.8*12</f>
        <v>1924.9056</v>
      </c>
      <c r="J50" s="346">
        <f>(84.249+3.117+1.75+1.744+18.806)*1.8*23.5%*12</f>
        <v>556.66461600000002</v>
      </c>
      <c r="K50" s="346">
        <f>(1.744+18.806+0.1+27.847)*1.8*12</f>
        <v>1047.5352</v>
      </c>
      <c r="L50" s="346">
        <v>11.5</v>
      </c>
      <c r="M50" s="346">
        <v>148.19999999999999</v>
      </c>
      <c r="N50" s="351">
        <v>0</v>
      </c>
      <c r="O50" s="345">
        <f t="shared" si="7"/>
        <v>148.19999999999999</v>
      </c>
      <c r="P50" s="345"/>
      <c r="Q50" s="346">
        <v>105.99860880000003</v>
      </c>
      <c r="R50" s="345"/>
      <c r="S50" s="327"/>
      <c r="T50" s="327"/>
      <c r="U50" s="327"/>
      <c r="V50" s="327"/>
      <c r="W50" s="327"/>
    </row>
    <row r="51" spans="1:23" s="247" customFormat="1" ht="20.100000000000001" customHeight="1" x14ac:dyDescent="0.25">
      <c r="A51" s="340" t="s">
        <v>1416</v>
      </c>
      <c r="B51" s="341" t="s">
        <v>1417</v>
      </c>
      <c r="C51" s="342">
        <f t="shared" si="10"/>
        <v>38</v>
      </c>
      <c r="D51" s="343">
        <v>36</v>
      </c>
      <c r="E51" s="343">
        <v>2</v>
      </c>
      <c r="F51" s="344">
        <v>25</v>
      </c>
      <c r="G51" s="345">
        <f t="shared" si="11"/>
        <v>6412.575966800001</v>
      </c>
      <c r="H51" s="346">
        <f t="shared" si="12"/>
        <v>6221.1005516000005</v>
      </c>
      <c r="I51" s="345">
        <f>(6.308+143.06+2.25)*1.8*12</f>
        <v>3274.9488000000001</v>
      </c>
      <c r="J51" s="346">
        <f>(6.308+143.06+2.25+1.3311+29.31)*1.8*23.5%*12</f>
        <v>925.14719159999981</v>
      </c>
      <c r="K51" s="346">
        <f>(1.3311+29.31+0.3+48.573)*1.8*12</f>
        <v>1717.5045600000001</v>
      </c>
      <c r="L51" s="346">
        <v>18.5</v>
      </c>
      <c r="M51" s="346">
        <v>285</v>
      </c>
      <c r="N51" s="351">
        <v>0</v>
      </c>
      <c r="O51" s="345">
        <f t="shared" si="7"/>
        <v>285</v>
      </c>
      <c r="P51" s="345"/>
      <c r="Q51" s="346">
        <v>191.47541520000004</v>
      </c>
      <c r="R51" s="345"/>
      <c r="S51" s="327"/>
      <c r="T51" s="327"/>
      <c r="U51" s="327"/>
      <c r="V51" s="327"/>
      <c r="W51" s="327"/>
    </row>
    <row r="52" spans="1:23" s="247" customFormat="1" ht="20.100000000000001" customHeight="1" x14ac:dyDescent="0.25">
      <c r="A52" s="340" t="s">
        <v>1418</v>
      </c>
      <c r="B52" s="341" t="s">
        <v>1419</v>
      </c>
      <c r="C52" s="342">
        <f t="shared" si="10"/>
        <v>31</v>
      </c>
      <c r="D52" s="343">
        <v>30</v>
      </c>
      <c r="E52" s="343">
        <v>1</v>
      </c>
      <c r="F52" s="344">
        <v>20</v>
      </c>
      <c r="G52" s="345">
        <f t="shared" si="11"/>
        <v>5150.9173204000008</v>
      </c>
      <c r="H52" s="346">
        <f t="shared" si="12"/>
        <v>4993.4000080000005</v>
      </c>
      <c r="I52" s="345">
        <f>(3.48+115.839+2.1)*1.8*12</f>
        <v>2622.6504</v>
      </c>
      <c r="J52" s="346">
        <f>(3.48+115.839+2.1+1.917+23.322)*1.8*23.5%*12</f>
        <v>744.4360079999999</v>
      </c>
      <c r="K52" s="346">
        <f>(1.917+23.322+0.3+38.457)*1.8*12</f>
        <v>1382.3136</v>
      </c>
      <c r="L52" s="346">
        <f>15.5+0.5</f>
        <v>16</v>
      </c>
      <c r="M52" s="346">
        <v>228</v>
      </c>
      <c r="N52" s="351">
        <v>0</v>
      </c>
      <c r="O52" s="345">
        <f t="shared" si="7"/>
        <v>228</v>
      </c>
      <c r="P52" s="345"/>
      <c r="Q52" s="346">
        <v>157.51731240000004</v>
      </c>
      <c r="R52" s="345"/>
      <c r="S52" s="327"/>
      <c r="T52" s="327"/>
      <c r="U52" s="327"/>
      <c r="V52" s="327"/>
      <c r="W52" s="327"/>
    </row>
    <row r="53" spans="1:23" s="247" customFormat="1" ht="20.100000000000001" customHeight="1" x14ac:dyDescent="0.25">
      <c r="A53" s="340" t="s">
        <v>1420</v>
      </c>
      <c r="B53" s="341" t="s">
        <v>1421</v>
      </c>
      <c r="C53" s="342">
        <f t="shared" si="10"/>
        <v>26</v>
      </c>
      <c r="D53" s="343">
        <v>25</v>
      </c>
      <c r="E53" s="343">
        <v>1</v>
      </c>
      <c r="F53" s="344">
        <v>18</v>
      </c>
      <c r="G53" s="345">
        <f t="shared" si="11"/>
        <v>4113.9764264000005</v>
      </c>
      <c r="H53" s="346">
        <f t="shared" si="12"/>
        <v>3948.9046160000003</v>
      </c>
      <c r="I53" s="345">
        <f>(2.181+89.08+1.9)*1.8*12</f>
        <v>2012.2776000000003</v>
      </c>
      <c r="J53" s="346">
        <f>(2.181+89.08+1.9+3.775+18.33)*1.8*23.5%*12</f>
        <v>585.09021599999994</v>
      </c>
      <c r="K53" s="346">
        <f>(3.775+18.33+0.3+30.018)*1.8*12</f>
        <v>1132.3368</v>
      </c>
      <c r="L53" s="346">
        <f>13+1</f>
        <v>14</v>
      </c>
      <c r="M53" s="346">
        <v>205.2</v>
      </c>
      <c r="N53" s="351">
        <v>0</v>
      </c>
      <c r="O53" s="345">
        <f t="shared" si="7"/>
        <v>205.2</v>
      </c>
      <c r="P53" s="345"/>
      <c r="Q53" s="346">
        <v>165.0718104</v>
      </c>
      <c r="R53" s="345"/>
      <c r="S53" s="327"/>
      <c r="T53" s="327"/>
      <c r="U53" s="327"/>
      <c r="V53" s="327"/>
      <c r="W53" s="327"/>
    </row>
    <row r="54" spans="1:23" s="247" customFormat="1" ht="20.100000000000001" customHeight="1" x14ac:dyDescent="0.25">
      <c r="A54" s="340" t="s">
        <v>1422</v>
      </c>
      <c r="B54" s="341" t="s">
        <v>1423</v>
      </c>
      <c r="C54" s="342">
        <f t="shared" si="10"/>
        <v>25</v>
      </c>
      <c r="D54" s="343">
        <v>24</v>
      </c>
      <c r="E54" s="343">
        <v>1</v>
      </c>
      <c r="F54" s="344">
        <v>15</v>
      </c>
      <c r="G54" s="345">
        <f t="shared" si="11"/>
        <v>4314.0469580000008</v>
      </c>
      <c r="H54" s="346">
        <f t="shared" si="12"/>
        <v>4193.6594480000003</v>
      </c>
      <c r="I54" s="345">
        <f>(4.297+97.12+1.75)*1.8*12</f>
        <v>2228.4072000000001</v>
      </c>
      <c r="J54" s="346">
        <f>(4.297+97.12+1.75+1.681+19.15)*1.8*23.5%*12</f>
        <v>629.41384799999992</v>
      </c>
      <c r="K54" s="346">
        <f>(1.681+19.15+0.1+32.418)*1.8*12</f>
        <v>1152.3384000000001</v>
      </c>
      <c r="L54" s="346">
        <v>12.5</v>
      </c>
      <c r="M54" s="346">
        <v>171</v>
      </c>
      <c r="N54" s="351">
        <v>0</v>
      </c>
      <c r="O54" s="345">
        <f t="shared" si="7"/>
        <v>171</v>
      </c>
      <c r="P54" s="345"/>
      <c r="Q54" s="346">
        <v>120.38751000000002</v>
      </c>
      <c r="R54" s="345"/>
      <c r="S54" s="327"/>
      <c r="T54" s="327"/>
      <c r="U54" s="327"/>
      <c r="V54" s="327"/>
      <c r="W54" s="327"/>
    </row>
    <row r="55" spans="1:23" s="247" customFormat="1" ht="20.100000000000001" customHeight="1" x14ac:dyDescent="0.25">
      <c r="A55" s="340" t="s">
        <v>1424</v>
      </c>
      <c r="B55" s="341" t="s">
        <v>1425</v>
      </c>
      <c r="C55" s="342">
        <f t="shared" si="10"/>
        <v>25</v>
      </c>
      <c r="D55" s="343">
        <v>24</v>
      </c>
      <c r="E55" s="343">
        <v>1</v>
      </c>
      <c r="F55" s="344">
        <v>14</v>
      </c>
      <c r="G55" s="345">
        <f t="shared" si="11"/>
        <v>3476.5766659999999</v>
      </c>
      <c r="H55" s="346">
        <f t="shared" si="12"/>
        <v>3350.1411560000001</v>
      </c>
      <c r="I55" s="345">
        <f>(2.94+81.25+1.75)*1.8*12</f>
        <v>1856.3040000000001</v>
      </c>
      <c r="J55" s="346">
        <f>(2.94+81.25+1.75+0.249+10.992)*1.8*23.5%*12</f>
        <v>493.29075599999999</v>
      </c>
      <c r="K55" s="346">
        <f>(0.249+10.992+0.2+26.913)*1.8*12</f>
        <v>828.44640000000004</v>
      </c>
      <c r="L55" s="346">
        <v>12.5</v>
      </c>
      <c r="M55" s="346">
        <v>159.6</v>
      </c>
      <c r="N55" s="351">
        <v>0</v>
      </c>
      <c r="O55" s="345">
        <f t="shared" si="7"/>
        <v>159.6</v>
      </c>
      <c r="P55" s="345"/>
      <c r="Q55" s="346">
        <v>126.43551000000002</v>
      </c>
      <c r="R55" s="345"/>
      <c r="S55" s="327"/>
      <c r="T55" s="327"/>
      <c r="U55" s="327"/>
      <c r="V55" s="327"/>
      <c r="W55" s="327"/>
    </row>
    <row r="56" spans="1:23" s="247" customFormat="1" ht="20.100000000000001" customHeight="1" x14ac:dyDescent="0.25">
      <c r="A56" s="340" t="s">
        <v>1426</v>
      </c>
      <c r="B56" s="341" t="s">
        <v>1427</v>
      </c>
      <c r="C56" s="342">
        <f t="shared" si="10"/>
        <v>35</v>
      </c>
      <c r="D56" s="343">
        <v>33</v>
      </c>
      <c r="E56" s="343">
        <v>2</v>
      </c>
      <c r="F56" s="344">
        <v>23</v>
      </c>
      <c r="G56" s="345">
        <f t="shared" si="11"/>
        <v>5766.8184207999993</v>
      </c>
      <c r="H56" s="346">
        <f t="shared" si="12"/>
        <v>5589.7319067999997</v>
      </c>
      <c r="I56" s="345">
        <f>(4.761+127.4+2.1)*1.8*12</f>
        <v>2900.0376000000001</v>
      </c>
      <c r="J56" s="346">
        <f>(4.761+127.4+2.1+0.9363+27.307)*1.8*23.5%*12</f>
        <v>824.87182679999978</v>
      </c>
      <c r="K56" s="346">
        <f>(0.9363+27.307+0.7+44.442)*1.8*12</f>
        <v>1585.1224800000002</v>
      </c>
      <c r="L56" s="346">
        <v>17.5</v>
      </c>
      <c r="M56" s="346">
        <v>262.2</v>
      </c>
      <c r="N56" s="351">
        <v>0</v>
      </c>
      <c r="O56" s="345">
        <f t="shared" si="7"/>
        <v>262.2</v>
      </c>
      <c r="P56" s="345"/>
      <c r="Q56" s="346">
        <v>177.08651400000002</v>
      </c>
      <c r="R56" s="345"/>
      <c r="S56" s="327"/>
      <c r="T56" s="327"/>
      <c r="U56" s="327"/>
      <c r="V56" s="327"/>
      <c r="W56" s="327"/>
    </row>
    <row r="57" spans="1:23" s="247" customFormat="1" ht="20.100000000000001" customHeight="1" x14ac:dyDescent="0.25">
      <c r="A57" s="340" t="s">
        <v>1428</v>
      </c>
      <c r="B57" s="341" t="s">
        <v>1429</v>
      </c>
      <c r="C57" s="342">
        <f t="shared" si="10"/>
        <v>22</v>
      </c>
      <c r="D57" s="343">
        <v>21</v>
      </c>
      <c r="E57" s="343">
        <v>1</v>
      </c>
      <c r="F57" s="344">
        <v>14</v>
      </c>
      <c r="G57" s="345">
        <f t="shared" si="11"/>
        <v>3679.4242976</v>
      </c>
      <c r="H57" s="346">
        <f t="shared" si="12"/>
        <v>3572.2736887999999</v>
      </c>
      <c r="I57" s="345">
        <f>(3.48+82.489+1.55)*1.8*12</f>
        <v>1890.4104000000002</v>
      </c>
      <c r="J57" s="346">
        <f>(3.48+82.489+1.55+0.2988+16.706)*1.8*23.5%*12</f>
        <v>530.56280880000008</v>
      </c>
      <c r="K57" s="346">
        <f>(0.2988+16.706+0.5+27.898)*1.8*12</f>
        <v>980.70048000000008</v>
      </c>
      <c r="L57" s="346">
        <v>11</v>
      </c>
      <c r="M57" s="346">
        <v>159.6</v>
      </c>
      <c r="N57" s="351">
        <v>0</v>
      </c>
      <c r="O57" s="345">
        <f t="shared" si="7"/>
        <v>159.6</v>
      </c>
      <c r="P57" s="345"/>
      <c r="Q57" s="346">
        <v>107.15060880000003</v>
      </c>
      <c r="R57" s="345"/>
      <c r="S57" s="327"/>
      <c r="T57" s="327"/>
      <c r="U57" s="327"/>
      <c r="V57" s="327"/>
      <c r="W57" s="327"/>
    </row>
    <row r="58" spans="1:23" s="247" customFormat="1" ht="20.100000000000001" customHeight="1" x14ac:dyDescent="0.25">
      <c r="A58" s="340" t="s">
        <v>1430</v>
      </c>
      <c r="B58" s="341" t="s">
        <v>1431</v>
      </c>
      <c r="C58" s="342">
        <f t="shared" si="10"/>
        <v>28</v>
      </c>
      <c r="D58" s="343">
        <v>27</v>
      </c>
      <c r="E58" s="343">
        <v>1</v>
      </c>
      <c r="F58" s="344">
        <v>19</v>
      </c>
      <c r="G58" s="345">
        <f t="shared" si="11"/>
        <v>4909.4618703999995</v>
      </c>
      <c r="H58" s="346">
        <f t="shared" si="12"/>
        <v>4772.3814591999999</v>
      </c>
      <c r="I58" s="345">
        <f>(1.805+110.21+2.1)*1.8*12</f>
        <v>2464.884</v>
      </c>
      <c r="J58" s="346">
        <f>(1.805+110.21+2.1+0.6972+24.687)*1.8*23.5%*12</f>
        <v>708.09793920000004</v>
      </c>
      <c r="K58" s="346">
        <f>(0.6972+24.687+0.3+37.663)*1.8*12</f>
        <v>1368.29952</v>
      </c>
      <c r="L58" s="346">
        <f>14+0.5</f>
        <v>14.5</v>
      </c>
      <c r="M58" s="346">
        <v>216.60000000000002</v>
      </c>
      <c r="N58" s="351">
        <v>0</v>
      </c>
      <c r="O58" s="345">
        <f t="shared" si="7"/>
        <v>216.60000000000002</v>
      </c>
      <c r="P58" s="345"/>
      <c r="Q58" s="346">
        <v>137.08041120000004</v>
      </c>
      <c r="R58" s="345"/>
      <c r="S58" s="327"/>
      <c r="T58" s="327"/>
      <c r="U58" s="327"/>
      <c r="V58" s="327"/>
      <c r="W58" s="327"/>
    </row>
    <row r="59" spans="1:23" s="247" customFormat="1" ht="20.100000000000001" customHeight="1" x14ac:dyDescent="0.25">
      <c r="A59" s="340" t="s">
        <v>1432</v>
      </c>
      <c r="B59" s="341" t="s">
        <v>1433</v>
      </c>
      <c r="C59" s="342">
        <f t="shared" si="10"/>
        <v>21</v>
      </c>
      <c r="D59" s="343">
        <v>20</v>
      </c>
      <c r="E59" s="343">
        <v>1</v>
      </c>
      <c r="F59" s="344">
        <v>13</v>
      </c>
      <c r="G59" s="345">
        <f t="shared" si="11"/>
        <v>3546.6504924000005</v>
      </c>
      <c r="H59" s="346">
        <f t="shared" si="12"/>
        <v>3439.8801840000006</v>
      </c>
      <c r="I59" s="345">
        <f>(1.805+78.799+1.15)*1.8*12</f>
        <v>1765.8864000000005</v>
      </c>
      <c r="J59" s="346">
        <f>(1.805+78.799+1.15+2.127+17.053)*1.8*23.5%*12</f>
        <v>512.34098399999993</v>
      </c>
      <c r="K59" s="346">
        <f>(2.127+17.053+0.2+27.053)*1.8*12</f>
        <v>1002.9528</v>
      </c>
      <c r="L59" s="346">
        <v>10.5</v>
      </c>
      <c r="M59" s="346">
        <v>148.19999999999999</v>
      </c>
      <c r="N59" s="351">
        <v>0</v>
      </c>
      <c r="O59" s="345">
        <f t="shared" si="7"/>
        <v>148.19999999999999</v>
      </c>
      <c r="P59" s="345"/>
      <c r="Q59" s="346">
        <v>106.77030840000002</v>
      </c>
      <c r="R59" s="345"/>
      <c r="S59" s="327"/>
      <c r="T59" s="327"/>
      <c r="U59" s="327"/>
      <c r="V59" s="327"/>
      <c r="W59" s="327"/>
    </row>
    <row r="60" spans="1:23" s="247" customFormat="1" ht="20.100000000000001" customHeight="1" x14ac:dyDescent="0.25">
      <c r="A60" s="340" t="s">
        <v>1434</v>
      </c>
      <c r="B60" s="341" t="s">
        <v>1435</v>
      </c>
      <c r="C60" s="342">
        <f t="shared" si="10"/>
        <v>29</v>
      </c>
      <c r="D60" s="343">
        <v>28</v>
      </c>
      <c r="E60" s="343">
        <v>1</v>
      </c>
      <c r="F60" s="344">
        <v>16</v>
      </c>
      <c r="G60" s="345">
        <f t="shared" si="11"/>
        <v>4594.2779836000009</v>
      </c>
      <c r="H60" s="346">
        <f t="shared" si="12"/>
        <v>4449.4252720000004</v>
      </c>
      <c r="I60" s="345">
        <f>(1.805+104.84+2.1)*1.8*12</f>
        <v>2348.8920000000003</v>
      </c>
      <c r="J60" s="346">
        <f>(1.805+104.84+2.1+2.413+20.064)*1.8*23.5%*12</f>
        <v>666.08287200000007</v>
      </c>
      <c r="K60" s="346">
        <f>(2.413+20.064+0.6+34.217)*1.8*12</f>
        <v>1237.5504000000001</v>
      </c>
      <c r="L60" s="346">
        <v>14.5</v>
      </c>
      <c r="M60" s="346">
        <v>182.39999999999998</v>
      </c>
      <c r="N60" s="351">
        <v>0</v>
      </c>
      <c r="O60" s="345">
        <f t="shared" si="7"/>
        <v>182.39999999999998</v>
      </c>
      <c r="P60" s="345"/>
      <c r="Q60" s="346">
        <v>144.85271160000002</v>
      </c>
      <c r="R60" s="345"/>
      <c r="S60" s="327"/>
      <c r="T60" s="327"/>
      <c r="U60" s="327"/>
      <c r="V60" s="327"/>
      <c r="W60" s="327"/>
    </row>
    <row r="61" spans="1:23" s="247" customFormat="1" ht="20.100000000000001" customHeight="1" x14ac:dyDescent="0.25">
      <c r="A61" s="340" t="s">
        <v>1436</v>
      </c>
      <c r="B61" s="341" t="s">
        <v>1437</v>
      </c>
      <c r="C61" s="342">
        <f t="shared" si="10"/>
        <v>18</v>
      </c>
      <c r="D61" s="343">
        <v>17</v>
      </c>
      <c r="E61" s="343">
        <v>1</v>
      </c>
      <c r="F61" s="344">
        <v>11</v>
      </c>
      <c r="G61" s="345">
        <f t="shared" si="11"/>
        <v>3076.8584936000002</v>
      </c>
      <c r="H61" s="346">
        <f t="shared" si="12"/>
        <v>2982.0770864000001</v>
      </c>
      <c r="I61" s="345">
        <f>(3.12+69.08+1.3)*1.8*12</f>
        <v>1587.6000000000001</v>
      </c>
      <c r="J61" s="346">
        <f>(3.12+69.08+1.3+1.3544+13.662)*1.8*23.5%*12</f>
        <v>449.30924640000001</v>
      </c>
      <c r="K61" s="346">
        <f>(1.3544+13.662+0.1+22.396)*1.8*12</f>
        <v>810.26784000000009</v>
      </c>
      <c r="L61" s="346">
        <f>9+0.5</f>
        <v>9.5</v>
      </c>
      <c r="M61" s="346">
        <v>125.39999999999999</v>
      </c>
      <c r="N61" s="351">
        <v>0</v>
      </c>
      <c r="O61" s="345">
        <f t="shared" si="7"/>
        <v>125.39999999999999</v>
      </c>
      <c r="P61" s="345"/>
      <c r="Q61" s="346">
        <v>94.781407200000032</v>
      </c>
      <c r="R61" s="345"/>
      <c r="S61" s="327"/>
      <c r="T61" s="327"/>
      <c r="U61" s="327"/>
      <c r="V61" s="327"/>
      <c r="W61" s="327"/>
    </row>
    <row r="62" spans="1:23" s="247" customFormat="1" ht="20.100000000000001" customHeight="1" x14ac:dyDescent="0.25">
      <c r="A62" s="340" t="s">
        <v>1438</v>
      </c>
      <c r="B62" s="341" t="s">
        <v>1439</v>
      </c>
      <c r="C62" s="342">
        <f t="shared" si="10"/>
        <v>34</v>
      </c>
      <c r="D62" s="343">
        <v>33</v>
      </c>
      <c r="E62" s="343">
        <v>1</v>
      </c>
      <c r="F62" s="344">
        <v>22</v>
      </c>
      <c r="G62" s="345">
        <f t="shared" si="11"/>
        <v>5880.4882855999995</v>
      </c>
      <c r="H62" s="346">
        <f t="shared" si="12"/>
        <v>5710.9820719999998</v>
      </c>
      <c r="I62" s="345">
        <f>(3.48+133.66+2.1)*1.8*12</f>
        <v>3007.5839999999998</v>
      </c>
      <c r="J62" s="346">
        <f>(3.48+133.66+2.1+1.228+26.954)*1.8*23.5%*12</f>
        <v>849.83407199999988</v>
      </c>
      <c r="K62" s="346">
        <f>(1.228+26.954+0.3+44.933)*1.8*12</f>
        <v>1585.7640000000001</v>
      </c>
      <c r="L62" s="346">
        <v>17</v>
      </c>
      <c r="M62" s="346">
        <v>250.79999999999998</v>
      </c>
      <c r="N62" s="351">
        <v>0</v>
      </c>
      <c r="O62" s="345">
        <f t="shared" si="7"/>
        <v>250.79999999999998</v>
      </c>
      <c r="P62" s="345"/>
      <c r="Q62" s="346">
        <v>169.50621360000005</v>
      </c>
      <c r="R62" s="345"/>
      <c r="S62" s="327"/>
      <c r="T62" s="327"/>
      <c r="U62" s="327"/>
      <c r="V62" s="327"/>
      <c r="W62" s="327"/>
    </row>
    <row r="63" spans="1:23" s="247" customFormat="1" ht="20.100000000000001" customHeight="1" x14ac:dyDescent="0.25">
      <c r="A63" s="340" t="s">
        <v>1440</v>
      </c>
      <c r="B63" s="341" t="s">
        <v>1441</v>
      </c>
      <c r="C63" s="342">
        <f t="shared" si="10"/>
        <v>33</v>
      </c>
      <c r="D63" s="343">
        <v>32</v>
      </c>
      <c r="E63" s="343">
        <v>1</v>
      </c>
      <c r="F63" s="344">
        <v>21</v>
      </c>
      <c r="G63" s="345">
        <f t="shared" si="11"/>
        <v>5969.7414971999997</v>
      </c>
      <c r="H63" s="346">
        <f t="shared" si="12"/>
        <v>5810.2155839999996</v>
      </c>
      <c r="I63" s="345">
        <f>(2.4+134.48+2.1)*1.8*12</f>
        <v>3001.9679999999998</v>
      </c>
      <c r="J63" s="346">
        <f>(2.4+134.48+2.1+2.381+30.223)*1.8*23.5%*12</f>
        <v>870.96038399999998</v>
      </c>
      <c r="K63" s="346">
        <f>(2.381+30.223+0.3+44.938)*1.8*12</f>
        <v>1681.3872000000001</v>
      </c>
      <c r="L63" s="346">
        <v>16.5</v>
      </c>
      <c r="M63" s="346">
        <v>239.39999999999998</v>
      </c>
      <c r="N63" s="351">
        <v>0</v>
      </c>
      <c r="O63" s="345">
        <f t="shared" si="7"/>
        <v>239.39999999999998</v>
      </c>
      <c r="P63" s="345"/>
      <c r="Q63" s="346">
        <v>159.52591320000005</v>
      </c>
      <c r="R63" s="345"/>
      <c r="S63" s="327"/>
      <c r="T63" s="327"/>
      <c r="U63" s="327"/>
      <c r="V63" s="327"/>
      <c r="W63" s="327"/>
    </row>
    <row r="64" spans="1:23" s="247" customFormat="1" ht="20.100000000000001" customHeight="1" x14ac:dyDescent="0.25">
      <c r="A64" s="340" t="s">
        <v>1442</v>
      </c>
      <c r="B64" s="341" t="s">
        <v>1443</v>
      </c>
      <c r="C64" s="342">
        <f t="shared" si="10"/>
        <v>21</v>
      </c>
      <c r="D64" s="343">
        <v>20</v>
      </c>
      <c r="E64" s="343">
        <v>1</v>
      </c>
      <c r="F64" s="344">
        <v>15</v>
      </c>
      <c r="G64" s="345">
        <f t="shared" si="11"/>
        <v>3551.8098875999995</v>
      </c>
      <c r="H64" s="346">
        <f t="shared" si="12"/>
        <v>3449.9355791999997</v>
      </c>
      <c r="I64" s="345">
        <f>(1.86+79.599+1.35)*1.8*12</f>
        <v>1788.6743999999999</v>
      </c>
      <c r="J64" s="346">
        <f>(1.86+79.599+1.35+0.5332+15.927)*1.8*23.5%*12</f>
        <v>503.8904591999999</v>
      </c>
      <c r="K64" s="346">
        <f>(0.5332+15.927+0.2+28.519)*1.8*12</f>
        <v>975.87071999999989</v>
      </c>
      <c r="L64" s="346">
        <v>10.5</v>
      </c>
      <c r="M64" s="346">
        <v>171</v>
      </c>
      <c r="N64" s="351">
        <v>0</v>
      </c>
      <c r="O64" s="345">
        <f t="shared" si="7"/>
        <v>171</v>
      </c>
      <c r="P64" s="345"/>
      <c r="Q64" s="346">
        <v>101.87430840000002</v>
      </c>
      <c r="R64" s="345"/>
      <c r="S64" s="327"/>
      <c r="T64" s="327"/>
      <c r="U64" s="327"/>
      <c r="V64" s="327"/>
      <c r="W64" s="327"/>
    </row>
    <row r="65" spans="1:23" s="247" customFormat="1" ht="20.100000000000001" customHeight="1" x14ac:dyDescent="0.25">
      <c r="A65" s="340" t="s">
        <v>1444</v>
      </c>
      <c r="B65" s="341" t="s">
        <v>1445</v>
      </c>
      <c r="C65" s="342">
        <f t="shared" si="10"/>
        <v>36</v>
      </c>
      <c r="D65" s="343">
        <v>35</v>
      </c>
      <c r="E65" s="343">
        <v>1</v>
      </c>
      <c r="F65" s="344">
        <v>23</v>
      </c>
      <c r="G65" s="345">
        <f t="shared" si="11"/>
        <v>6182.0079599999999</v>
      </c>
      <c r="H65" s="346">
        <f t="shared" si="12"/>
        <v>6003.2931455999997</v>
      </c>
      <c r="I65" s="345">
        <f>(2.94+140.58+2.25)*1.8*12</f>
        <v>3148.6320000000005</v>
      </c>
      <c r="J65" s="346">
        <f>(2.94+140.58+2.25+1.7856+29.11)*1.8*23.5%*12</f>
        <v>896.75458559999993</v>
      </c>
      <c r="K65" s="346">
        <f>(1.7856+29.11+0.3+46.476)*1.8*12</f>
        <v>1677.7065599999999</v>
      </c>
      <c r="L65" s="346">
        <v>18</v>
      </c>
      <c r="M65" s="346">
        <v>262.2</v>
      </c>
      <c r="N65" s="351">
        <v>0</v>
      </c>
      <c r="O65" s="345">
        <f t="shared" si="7"/>
        <v>262.2</v>
      </c>
      <c r="P65" s="345"/>
      <c r="Q65" s="346">
        <v>178.71481440000008</v>
      </c>
      <c r="R65" s="345"/>
      <c r="S65" s="327"/>
      <c r="T65" s="327"/>
      <c r="U65" s="327"/>
      <c r="V65" s="327"/>
      <c r="W65" s="327"/>
    </row>
    <row r="66" spans="1:23" s="247" customFormat="1" ht="20.100000000000001" customHeight="1" x14ac:dyDescent="0.25">
      <c r="A66" s="340" t="s">
        <v>1446</v>
      </c>
      <c r="B66" s="341" t="s">
        <v>1447</v>
      </c>
      <c r="C66" s="342">
        <f t="shared" si="10"/>
        <v>22</v>
      </c>
      <c r="D66" s="343">
        <v>20</v>
      </c>
      <c r="E66" s="343">
        <v>2</v>
      </c>
      <c r="F66" s="344">
        <v>13</v>
      </c>
      <c r="G66" s="345">
        <f t="shared" si="11"/>
        <v>3461.4636231999998</v>
      </c>
      <c r="H66" s="346">
        <f t="shared" si="12"/>
        <v>3355.4650143999997</v>
      </c>
      <c r="I66" s="345">
        <f>(6.289+75.258+1.55)*1.8*12</f>
        <v>1794.8951999999999</v>
      </c>
      <c r="J66" s="346">
        <f>(6.289+75.258+1.55+0.7824+14.715)*1.8*23.5%*12</f>
        <v>500.46517440000002</v>
      </c>
      <c r="K66" s="346">
        <f>(0.7824+14.715+0.2+25.988)*1.8*12</f>
        <v>900.40463999999997</v>
      </c>
      <c r="L66" s="346">
        <f>11+0.5</f>
        <v>11.5</v>
      </c>
      <c r="M66" s="346">
        <v>148.19999999999999</v>
      </c>
      <c r="N66" s="351">
        <v>0</v>
      </c>
      <c r="O66" s="345">
        <f t="shared" si="7"/>
        <v>148.19999999999999</v>
      </c>
      <c r="P66" s="345"/>
      <c r="Q66" s="346">
        <v>105.99860880000003</v>
      </c>
      <c r="R66" s="345"/>
      <c r="S66" s="327"/>
      <c r="T66" s="327"/>
      <c r="U66" s="327"/>
      <c r="V66" s="327"/>
      <c r="W66" s="327"/>
    </row>
    <row r="67" spans="1:23" s="246" customFormat="1" ht="20.100000000000001" customHeight="1" x14ac:dyDescent="0.25">
      <c r="A67" s="349" t="s">
        <v>73</v>
      </c>
      <c r="B67" s="350" t="s">
        <v>1448</v>
      </c>
      <c r="C67" s="337">
        <f t="shared" ref="C67:Q67" si="13">SUM(C68:C80)</f>
        <v>449</v>
      </c>
      <c r="D67" s="337">
        <f t="shared" si="13"/>
        <v>436</v>
      </c>
      <c r="E67" s="337">
        <f t="shared" si="13"/>
        <v>13</v>
      </c>
      <c r="F67" s="337">
        <f t="shared" ref="F67" si="14">SUM(F68:F80)</f>
        <v>239</v>
      </c>
      <c r="G67" s="334">
        <f>SUM(G68:G80)</f>
        <v>74076.454965600016</v>
      </c>
      <c r="H67" s="334">
        <f t="shared" si="13"/>
        <v>71932.427874000001</v>
      </c>
      <c r="I67" s="334">
        <f t="shared" si="13"/>
        <v>40406.882400000002</v>
      </c>
      <c r="J67" s="334">
        <f t="shared" si="13"/>
        <v>11276.265474</v>
      </c>
      <c r="K67" s="334">
        <f t="shared" si="13"/>
        <v>18959.453999999998</v>
      </c>
      <c r="L67" s="334">
        <f t="shared" si="13"/>
        <v>229.5</v>
      </c>
      <c r="M67" s="334">
        <f t="shared" si="13"/>
        <v>2724.6</v>
      </c>
      <c r="N67" s="334">
        <f t="shared" si="13"/>
        <v>1719.6299999999999</v>
      </c>
      <c r="O67" s="334">
        <f t="shared" si="13"/>
        <v>1060.3259999999998</v>
      </c>
      <c r="P67" s="334">
        <f t="shared" si="13"/>
        <v>0</v>
      </c>
      <c r="Q67" s="334">
        <f t="shared" si="13"/>
        <v>2144.0270916000004</v>
      </c>
      <c r="R67" s="334"/>
      <c r="S67" s="326"/>
      <c r="T67" s="329"/>
      <c r="U67" s="326"/>
      <c r="V67" s="326"/>
      <c r="W67" s="326"/>
    </row>
    <row r="68" spans="1:23" s="247" customFormat="1" ht="20.100000000000001" customHeight="1" x14ac:dyDescent="0.25">
      <c r="A68" s="340" t="s">
        <v>1449</v>
      </c>
      <c r="B68" s="341" t="s">
        <v>1443</v>
      </c>
      <c r="C68" s="342">
        <f t="shared" ref="C68:C80" si="15">SUM(D68:E68)</f>
        <v>19</v>
      </c>
      <c r="D68" s="343">
        <v>19</v>
      </c>
      <c r="E68" s="343"/>
      <c r="F68" s="344">
        <v>8</v>
      </c>
      <c r="G68" s="345">
        <f t="shared" ref="G68:G80" si="16">H68+Q68</f>
        <v>2802.1064276000002</v>
      </c>
      <c r="H68" s="346">
        <f t="shared" ref="H68:H80" si="17">SUM(I68:L68)+O68</f>
        <v>2711.3873480000002</v>
      </c>
      <c r="I68" s="345">
        <f>(70.239+1.6)*1.8*12</f>
        <v>1551.7224000000001</v>
      </c>
      <c r="J68" s="346">
        <f>(70.239+1.6+0.747+10.787)*1.8*23.5%*12</f>
        <v>423.201348</v>
      </c>
      <c r="K68" s="346">
        <f>(0.747+10.787+0.1+19.907)*1.8*12</f>
        <v>681.28560000000004</v>
      </c>
      <c r="L68" s="346">
        <v>9.5</v>
      </c>
      <c r="M68" s="346">
        <v>91.199999999999989</v>
      </c>
      <c r="N68" s="351">
        <v>45.522000000000006</v>
      </c>
      <c r="O68" s="345">
        <f t="shared" si="7"/>
        <v>45.677999999999983</v>
      </c>
      <c r="P68" s="345"/>
      <c r="Q68" s="346">
        <v>90.719079600000015</v>
      </c>
      <c r="R68" s="334"/>
      <c r="S68" s="327"/>
      <c r="T68" s="327"/>
      <c r="U68" s="327"/>
      <c r="V68" s="327"/>
      <c r="W68" s="327"/>
    </row>
    <row r="69" spans="1:23" s="247" customFormat="1" ht="20.100000000000001" customHeight="1" x14ac:dyDescent="0.25">
      <c r="A69" s="340" t="s">
        <v>1450</v>
      </c>
      <c r="B69" s="341" t="s">
        <v>1451</v>
      </c>
      <c r="C69" s="342">
        <f t="shared" si="15"/>
        <v>26</v>
      </c>
      <c r="D69" s="343">
        <v>25</v>
      </c>
      <c r="E69" s="343">
        <v>1</v>
      </c>
      <c r="F69" s="344">
        <v>12</v>
      </c>
      <c r="G69" s="345">
        <f t="shared" si="16"/>
        <v>4400.3794888000002</v>
      </c>
      <c r="H69" s="346">
        <f t="shared" si="17"/>
        <v>4277.6775904000006</v>
      </c>
      <c r="I69" s="345">
        <f>(107.95+1.6+1.806)*1.8*12</f>
        <v>2405.2896000000001</v>
      </c>
      <c r="J69" s="346">
        <f>(107.95+1.6+1.806+0.8964+19.818)*1.8*23.5%*12</f>
        <v>670.38935040000001</v>
      </c>
      <c r="K69" s="346">
        <f>(0.8964+19.818+0.2+30.791)*1.8*12</f>
        <v>1116.83664</v>
      </c>
      <c r="L69" s="346">
        <v>13</v>
      </c>
      <c r="M69" s="346">
        <v>136.79999999999998</v>
      </c>
      <c r="N69" s="351">
        <v>64.637999999999991</v>
      </c>
      <c r="O69" s="345">
        <f t="shared" si="7"/>
        <v>72.161999999999992</v>
      </c>
      <c r="P69" s="345"/>
      <c r="Q69" s="346">
        <v>122.7018984</v>
      </c>
      <c r="R69" s="334"/>
      <c r="S69" s="327"/>
      <c r="T69" s="327"/>
      <c r="U69" s="327"/>
      <c r="V69" s="327"/>
      <c r="W69" s="327"/>
    </row>
    <row r="70" spans="1:23" s="247" customFormat="1" ht="20.100000000000001" customHeight="1" x14ac:dyDescent="0.25">
      <c r="A70" s="340" t="s">
        <v>1452</v>
      </c>
      <c r="B70" s="341" t="s">
        <v>1453</v>
      </c>
      <c r="C70" s="342">
        <f t="shared" si="15"/>
        <v>33</v>
      </c>
      <c r="D70" s="343">
        <v>32</v>
      </c>
      <c r="E70" s="343">
        <v>1</v>
      </c>
      <c r="F70" s="344">
        <v>17</v>
      </c>
      <c r="G70" s="345">
        <f t="shared" si="16"/>
        <v>5284.4990292000002</v>
      </c>
      <c r="H70" s="346">
        <f t="shared" si="17"/>
        <v>5126.2623119999998</v>
      </c>
      <c r="I70" s="345">
        <f>(132.98+1.9+3.409)*1.8*12</f>
        <v>2987.0423999999998</v>
      </c>
      <c r="J70" s="346">
        <f>(132.98+1.9+3.409+0.399+22.874)*1.8*23.5%*12</f>
        <v>820.08871199999987</v>
      </c>
      <c r="K70" s="346">
        <f>(0.399+22.874+0.2+36.834)*1.8*12</f>
        <v>1302.6312000000003</v>
      </c>
      <c r="L70" s="346">
        <v>16.5</v>
      </c>
      <c r="M70" s="346">
        <v>193.79999999999998</v>
      </c>
      <c r="N70" s="351">
        <v>213.84</v>
      </c>
      <c r="O70" s="345"/>
      <c r="P70" s="345"/>
      <c r="Q70" s="346">
        <v>158.23671720000002</v>
      </c>
      <c r="R70" s="334"/>
      <c r="S70" s="327"/>
      <c r="T70" s="327"/>
      <c r="U70" s="327"/>
      <c r="V70" s="327"/>
      <c r="W70" s="327"/>
    </row>
    <row r="71" spans="1:23" s="247" customFormat="1" ht="20.100000000000001" customHeight="1" x14ac:dyDescent="0.25">
      <c r="A71" s="340" t="s">
        <v>1454</v>
      </c>
      <c r="B71" s="341" t="s">
        <v>1455</v>
      </c>
      <c r="C71" s="342">
        <f t="shared" si="15"/>
        <v>28</v>
      </c>
      <c r="D71" s="343">
        <v>27</v>
      </c>
      <c r="E71" s="343">
        <v>1</v>
      </c>
      <c r="F71" s="344">
        <v>16</v>
      </c>
      <c r="G71" s="345">
        <f t="shared" si="16"/>
        <v>4256.1066395999997</v>
      </c>
      <c r="H71" s="346">
        <f t="shared" si="17"/>
        <v>4118.5753643999997</v>
      </c>
      <c r="I71" s="345">
        <f>(104+1.7+2.4)*1.8*12</f>
        <v>2334.96</v>
      </c>
      <c r="J71" s="346">
        <f>(104+1.7+2.4+0.642+16.2899)*1.8*23.5%*12</f>
        <v>634.66192439999998</v>
      </c>
      <c r="K71" s="346">
        <f>(0.642+16.2899+0.2+30.994)*1.8*12</f>
        <v>1039.51944</v>
      </c>
      <c r="L71" s="346">
        <v>15</v>
      </c>
      <c r="M71" s="346">
        <v>182.39999999999998</v>
      </c>
      <c r="N71" s="351">
        <v>87.96599999999998</v>
      </c>
      <c r="O71" s="345">
        <f t="shared" si="7"/>
        <v>94.433999999999997</v>
      </c>
      <c r="P71" s="345"/>
      <c r="Q71" s="346">
        <v>137.53127520000001</v>
      </c>
      <c r="R71" s="334"/>
      <c r="S71" s="327"/>
      <c r="T71" s="327"/>
      <c r="U71" s="327"/>
      <c r="V71" s="327"/>
      <c r="W71" s="327"/>
    </row>
    <row r="72" spans="1:23" s="247" customFormat="1" ht="20.100000000000001" customHeight="1" x14ac:dyDescent="0.25">
      <c r="A72" s="340" t="s">
        <v>1456</v>
      </c>
      <c r="B72" s="341" t="s">
        <v>1010</v>
      </c>
      <c r="C72" s="342">
        <f t="shared" si="15"/>
        <v>45</v>
      </c>
      <c r="D72" s="343">
        <v>44</v>
      </c>
      <c r="E72" s="343">
        <v>1</v>
      </c>
      <c r="F72" s="344">
        <v>23</v>
      </c>
      <c r="G72" s="345">
        <f t="shared" si="16"/>
        <v>7534.8099579999998</v>
      </c>
      <c r="H72" s="346">
        <f t="shared" si="17"/>
        <v>7325.1329799999994</v>
      </c>
      <c r="I72" s="345">
        <f>(184.9+2.6+1.805)*1.8*12</f>
        <v>4088.9880000000003</v>
      </c>
      <c r="J72" s="346">
        <f>(184.9+2.6+1.805+1.44+34.36)*1.8*23.5%*12</f>
        <v>1142.6329799999999</v>
      </c>
      <c r="K72" s="346">
        <f>(1.44+34.36+0.2+53.86)*1.8*12</f>
        <v>1940.9759999999999</v>
      </c>
      <c r="L72" s="346">
        <f>22.5+1</f>
        <v>23.5</v>
      </c>
      <c r="M72" s="346">
        <v>262.2</v>
      </c>
      <c r="N72" s="351">
        <v>133.16399999999999</v>
      </c>
      <c r="O72" s="345">
        <f t="shared" si="7"/>
        <v>129.036</v>
      </c>
      <c r="P72" s="345"/>
      <c r="Q72" s="346">
        <v>209.67697800000008</v>
      </c>
      <c r="R72" s="334"/>
      <c r="S72" s="327"/>
      <c r="T72" s="327"/>
      <c r="U72" s="327"/>
      <c r="V72" s="327"/>
      <c r="W72" s="327"/>
    </row>
    <row r="73" spans="1:23" s="247" customFormat="1" ht="20.100000000000001" customHeight="1" x14ac:dyDescent="0.25">
      <c r="A73" s="340" t="s">
        <v>1457</v>
      </c>
      <c r="B73" s="341" t="s">
        <v>1458</v>
      </c>
      <c r="C73" s="342">
        <f t="shared" si="15"/>
        <v>31</v>
      </c>
      <c r="D73" s="343">
        <v>30</v>
      </c>
      <c r="E73" s="343">
        <v>1</v>
      </c>
      <c r="F73" s="344">
        <v>16</v>
      </c>
      <c r="G73" s="345">
        <f t="shared" si="16"/>
        <v>4889.5123363999992</v>
      </c>
      <c r="H73" s="346">
        <f t="shared" si="17"/>
        <v>4740.2489959999994</v>
      </c>
      <c r="I73" s="345">
        <f>(121.82+1.75+2.229)*1.8*12</f>
        <v>2717.2583999999997</v>
      </c>
      <c r="J73" s="346">
        <f>(121.82+1.75+2.229+20.422)*1.8*23.5%*12</f>
        <v>742.21779600000002</v>
      </c>
      <c r="K73" s="346">
        <f>(20.422+0.2+33.726)*1.8*12</f>
        <v>1173.9168</v>
      </c>
      <c r="L73" s="346">
        <v>15.5</v>
      </c>
      <c r="M73" s="346">
        <v>182.39999999999998</v>
      </c>
      <c r="N73" s="351">
        <v>91.044000000000011</v>
      </c>
      <c r="O73" s="345">
        <f t="shared" si="7"/>
        <v>91.355999999999966</v>
      </c>
      <c r="P73" s="345"/>
      <c r="Q73" s="346">
        <v>149.26334040000003</v>
      </c>
      <c r="R73" s="334"/>
      <c r="S73" s="327"/>
      <c r="T73" s="327"/>
      <c r="U73" s="327"/>
      <c r="V73" s="327"/>
      <c r="W73" s="327"/>
    </row>
    <row r="74" spans="1:23" s="247" customFormat="1" ht="20.100000000000001" customHeight="1" x14ac:dyDescent="0.25">
      <c r="A74" s="340" t="s">
        <v>1459</v>
      </c>
      <c r="B74" s="341" t="s">
        <v>1460</v>
      </c>
      <c r="C74" s="342">
        <f t="shared" si="15"/>
        <v>49</v>
      </c>
      <c r="D74" s="343">
        <v>48</v>
      </c>
      <c r="E74" s="343">
        <v>1</v>
      </c>
      <c r="F74" s="344">
        <v>27</v>
      </c>
      <c r="G74" s="345">
        <f t="shared" si="16"/>
        <v>8128.2261328000004</v>
      </c>
      <c r="H74" s="346">
        <f t="shared" si="17"/>
        <v>7895.8984012000001</v>
      </c>
      <c r="I74" s="345">
        <f>(201.51+2.85+2.22)*1.8*12</f>
        <v>4462.1279999999997</v>
      </c>
      <c r="J74" s="346">
        <f>(201.51+2.85+2.22+1.3446+38.9041)*1.8*23.5%*12</f>
        <v>1252.9024812</v>
      </c>
      <c r="K74" s="346">
        <f>(1.3446+38.9041+0.5+59.06)*1.8*12</f>
        <v>2155.8679200000001</v>
      </c>
      <c r="L74" s="346">
        <f>24.5+0.5</f>
        <v>25</v>
      </c>
      <c r="M74" s="346">
        <v>307.79999999999995</v>
      </c>
      <c r="N74" s="351">
        <v>343.11599999999999</v>
      </c>
      <c r="O74" s="345"/>
      <c r="P74" s="345"/>
      <c r="Q74" s="346">
        <v>232.32773160000002</v>
      </c>
      <c r="R74" s="334"/>
      <c r="S74" s="327"/>
      <c r="T74" s="327"/>
      <c r="U74" s="327"/>
      <c r="V74" s="327"/>
      <c r="W74" s="327"/>
    </row>
    <row r="75" spans="1:23" s="247" customFormat="1" ht="20.100000000000001" customHeight="1" x14ac:dyDescent="0.25">
      <c r="A75" s="340" t="s">
        <v>1461</v>
      </c>
      <c r="B75" s="341" t="s">
        <v>1462</v>
      </c>
      <c r="C75" s="342">
        <f t="shared" si="15"/>
        <v>43</v>
      </c>
      <c r="D75" s="343">
        <v>42</v>
      </c>
      <c r="E75" s="343">
        <v>1</v>
      </c>
      <c r="F75" s="344">
        <v>23</v>
      </c>
      <c r="G75" s="345">
        <f t="shared" si="16"/>
        <v>7571.1184291999998</v>
      </c>
      <c r="H75" s="346">
        <f t="shared" si="17"/>
        <v>7366.8628279999994</v>
      </c>
      <c r="I75" s="345">
        <f>(180.78+2.35+2.94)*1.8*12</f>
        <v>4019.1120000000001</v>
      </c>
      <c r="J75" s="346">
        <f>(180.78+2.35+2.94+3.168+37.765)*1.8*23.5%*12</f>
        <v>1152.2672279999999</v>
      </c>
      <c r="K75" s="346">
        <f>(3.168+37.765+0.3+54.018)*1.8*12</f>
        <v>2057.4216000000001</v>
      </c>
      <c r="L75" s="346">
        <f>21+0.5</f>
        <v>21.5</v>
      </c>
      <c r="M75" s="346">
        <v>262.2</v>
      </c>
      <c r="N75" s="351">
        <v>145.63799999999998</v>
      </c>
      <c r="O75" s="345">
        <f t="shared" si="7"/>
        <v>116.56200000000001</v>
      </c>
      <c r="P75" s="345"/>
      <c r="Q75" s="346">
        <v>204.25560120000003</v>
      </c>
      <c r="R75" s="334"/>
      <c r="S75" s="327"/>
      <c r="T75" s="327"/>
      <c r="U75" s="327"/>
      <c r="V75" s="327"/>
      <c r="W75" s="327"/>
    </row>
    <row r="76" spans="1:23" s="247" customFormat="1" ht="20.100000000000001" customHeight="1" x14ac:dyDescent="0.25">
      <c r="A76" s="340" t="s">
        <v>1463</v>
      </c>
      <c r="B76" s="341" t="s">
        <v>1464</v>
      </c>
      <c r="C76" s="342">
        <f t="shared" si="15"/>
        <v>32</v>
      </c>
      <c r="D76" s="343">
        <v>31</v>
      </c>
      <c r="E76" s="343">
        <v>1</v>
      </c>
      <c r="F76" s="344">
        <v>18</v>
      </c>
      <c r="G76" s="345">
        <f t="shared" si="16"/>
        <v>5154.5036007999988</v>
      </c>
      <c r="H76" s="346">
        <f t="shared" si="17"/>
        <v>5001.4255719999992</v>
      </c>
      <c r="I76" s="345">
        <f>(124.53+2.3+1.805)*1.8*12</f>
        <v>2778.5159999999996</v>
      </c>
      <c r="J76" s="346">
        <f>(124.53+2.3+1.805+0.697+22.765)*1.8*23.5%*12</f>
        <v>772.04437199999984</v>
      </c>
      <c r="K76" s="346">
        <f>(0.697+22.765+0.9+37.44)*1.8*12</f>
        <v>1334.9231999999997</v>
      </c>
      <c r="L76" s="346">
        <f>16+1.5</f>
        <v>17.5</v>
      </c>
      <c r="M76" s="346">
        <v>205.2</v>
      </c>
      <c r="N76" s="351">
        <v>106.758</v>
      </c>
      <c r="O76" s="345">
        <f t="shared" si="7"/>
        <v>98.441999999999993</v>
      </c>
      <c r="P76" s="345"/>
      <c r="Q76" s="346">
        <v>153.07802880000003</v>
      </c>
      <c r="R76" s="334"/>
      <c r="S76" s="327"/>
      <c r="T76" s="327"/>
      <c r="U76" s="327"/>
      <c r="V76" s="327"/>
      <c r="W76" s="327"/>
    </row>
    <row r="77" spans="1:23" s="247" customFormat="1" ht="20.100000000000001" customHeight="1" x14ac:dyDescent="0.25">
      <c r="A77" s="340" t="s">
        <v>1465</v>
      </c>
      <c r="B77" s="341" t="s">
        <v>1466</v>
      </c>
      <c r="C77" s="342">
        <f t="shared" si="15"/>
        <v>33</v>
      </c>
      <c r="D77" s="343">
        <v>32</v>
      </c>
      <c r="E77" s="343">
        <v>1</v>
      </c>
      <c r="F77" s="344">
        <v>18</v>
      </c>
      <c r="G77" s="345">
        <f t="shared" si="16"/>
        <v>5335.1748372000002</v>
      </c>
      <c r="H77" s="346">
        <f t="shared" si="17"/>
        <v>5178.1861200000003</v>
      </c>
      <c r="I77" s="345">
        <f>(131.24+1.8+2.06)*1.8*12</f>
        <v>2918.1600000000003</v>
      </c>
      <c r="J77" s="346">
        <f>(131.24+1.8+2.06+0.797+22.973)*1.8*23.5%*12</f>
        <v>806.42412000000002</v>
      </c>
      <c r="K77" s="346">
        <f>(0.797+22.973+0.3+38.685)*1.8*12</f>
        <v>1355.508</v>
      </c>
      <c r="L77" s="346">
        <v>16.5</v>
      </c>
      <c r="M77" s="346">
        <v>205.2</v>
      </c>
      <c r="N77" s="351">
        <v>123.60599999999999</v>
      </c>
      <c r="O77" s="345">
        <f t="shared" si="7"/>
        <v>81.593999999999994</v>
      </c>
      <c r="P77" s="345"/>
      <c r="Q77" s="346">
        <v>156.98871720000005</v>
      </c>
      <c r="R77" s="334"/>
      <c r="S77" s="327"/>
      <c r="T77" s="327"/>
      <c r="U77" s="327"/>
      <c r="V77" s="327"/>
      <c r="W77" s="327"/>
    </row>
    <row r="78" spans="1:23" s="247" customFormat="1" ht="20.100000000000001" customHeight="1" x14ac:dyDescent="0.25">
      <c r="A78" s="340" t="s">
        <v>1467</v>
      </c>
      <c r="B78" s="341" t="s">
        <v>1468</v>
      </c>
      <c r="C78" s="342">
        <f t="shared" si="15"/>
        <v>49</v>
      </c>
      <c r="D78" s="343">
        <v>48</v>
      </c>
      <c r="E78" s="343">
        <v>1</v>
      </c>
      <c r="F78" s="344">
        <v>29</v>
      </c>
      <c r="G78" s="345">
        <f t="shared" si="16"/>
        <v>8201.3496976000006</v>
      </c>
      <c r="H78" s="346">
        <f t="shared" si="17"/>
        <v>7966.7179660000011</v>
      </c>
      <c r="I78" s="345">
        <f>(201.789+2.85+3.278)*1.8*12</f>
        <v>4491.0072</v>
      </c>
      <c r="J78" s="346">
        <f>(201.789+2.85+3.278+2.4285+36.508)*1.8*23.5%*12</f>
        <v>1253.028366</v>
      </c>
      <c r="K78" s="346">
        <f>(2.4285+36.508+0.4+56.095)*1.8*12</f>
        <v>2061.3204000000001</v>
      </c>
      <c r="L78" s="346">
        <f>24.5+0.5</f>
        <v>25</v>
      </c>
      <c r="M78" s="346">
        <v>330.59999999999997</v>
      </c>
      <c r="N78" s="351">
        <v>194.238</v>
      </c>
      <c r="O78" s="345">
        <f t="shared" si="7"/>
        <v>136.36199999999997</v>
      </c>
      <c r="P78" s="345"/>
      <c r="Q78" s="346">
        <v>234.63173160000002</v>
      </c>
      <c r="R78" s="334"/>
      <c r="S78" s="327"/>
      <c r="T78" s="327"/>
      <c r="U78" s="327"/>
      <c r="V78" s="327"/>
      <c r="W78" s="327"/>
    </row>
    <row r="79" spans="1:23" s="247" customFormat="1" ht="20.100000000000001" customHeight="1" x14ac:dyDescent="0.25">
      <c r="A79" s="340" t="s">
        <v>1469</v>
      </c>
      <c r="B79" s="341" t="s">
        <v>1470</v>
      </c>
      <c r="C79" s="342">
        <f t="shared" si="15"/>
        <v>30</v>
      </c>
      <c r="D79" s="343">
        <v>28</v>
      </c>
      <c r="E79" s="343">
        <v>2</v>
      </c>
      <c r="F79" s="344">
        <v>16</v>
      </c>
      <c r="G79" s="345">
        <f>H79+Q79</f>
        <v>5103.9320040000002</v>
      </c>
      <c r="H79" s="346">
        <f t="shared" si="17"/>
        <v>4958.5793520000007</v>
      </c>
      <c r="I79" s="345">
        <f>(122.25+1.6+4.09)*1.8*12</f>
        <v>2763.5039999999999</v>
      </c>
      <c r="J79" s="346">
        <f>(122.25+1.6+4.09+0.698+24.264)*1.8*23.5%*12</f>
        <v>776.13055200000008</v>
      </c>
      <c r="K79" s="346">
        <f>(0.698+24.264+0.1+35.871)*1.8*12</f>
        <v>1316.1528000000003</v>
      </c>
      <c r="L79" s="346">
        <f>14.5+0.5</f>
        <v>15</v>
      </c>
      <c r="M79" s="346">
        <v>182.39999999999998</v>
      </c>
      <c r="N79" s="351">
        <v>94.608000000000004</v>
      </c>
      <c r="O79" s="345">
        <f t="shared" si="7"/>
        <v>87.791999999999973</v>
      </c>
      <c r="P79" s="345"/>
      <c r="Q79" s="346">
        <v>145.35265200000001</v>
      </c>
      <c r="R79" s="334"/>
      <c r="S79" s="327"/>
      <c r="T79" s="327"/>
      <c r="U79" s="327"/>
      <c r="V79" s="327"/>
      <c r="W79" s="327"/>
    </row>
    <row r="80" spans="1:23" s="247" customFormat="1" ht="20.100000000000001" customHeight="1" x14ac:dyDescent="0.25">
      <c r="A80" s="340" t="s">
        <v>1471</v>
      </c>
      <c r="B80" s="341" t="s">
        <v>1472</v>
      </c>
      <c r="C80" s="342">
        <f t="shared" si="15"/>
        <v>31</v>
      </c>
      <c r="D80" s="343">
        <v>30</v>
      </c>
      <c r="E80" s="343">
        <v>1</v>
      </c>
      <c r="F80" s="344">
        <v>16</v>
      </c>
      <c r="G80" s="345">
        <f t="shared" si="16"/>
        <v>5414.736384400001</v>
      </c>
      <c r="H80" s="346">
        <f t="shared" si="17"/>
        <v>5265.4730440000012</v>
      </c>
      <c r="I80" s="345">
        <f>(128.639+2+3.12)*1.8*12</f>
        <v>2889.1944000000003</v>
      </c>
      <c r="J80" s="346">
        <f>(128.639+2+3.12+3.393+26.417)*1.8*23.5%*12</f>
        <v>830.27624400000013</v>
      </c>
      <c r="K80" s="346">
        <f>(3.393+26.417+0.2+35.874)*1.8*12</f>
        <v>1423.0944</v>
      </c>
      <c r="L80" s="346">
        <f>15.5+0.5</f>
        <v>16</v>
      </c>
      <c r="M80" s="346">
        <v>182.39999999999998</v>
      </c>
      <c r="N80" s="351">
        <v>75.49199999999999</v>
      </c>
      <c r="O80" s="345">
        <f t="shared" ref="O80" si="18">M80-N80</f>
        <v>106.90799999999999</v>
      </c>
      <c r="P80" s="345"/>
      <c r="Q80" s="346">
        <v>149.26334040000003</v>
      </c>
      <c r="R80" s="334"/>
      <c r="S80" s="327"/>
      <c r="T80" s="327"/>
      <c r="U80" s="327"/>
      <c r="V80" s="327"/>
      <c r="W80" s="327"/>
    </row>
    <row r="81" spans="1:23" s="249" customFormat="1" ht="20.100000000000001" customHeight="1" x14ac:dyDescent="0.25">
      <c r="A81" s="352" t="s">
        <v>16</v>
      </c>
      <c r="B81" s="353" t="s">
        <v>1499</v>
      </c>
      <c r="C81" s="337"/>
      <c r="D81" s="354"/>
      <c r="E81" s="354"/>
      <c r="F81" s="355"/>
      <c r="G81" s="334">
        <f>H81</f>
        <v>3019.3905994800039</v>
      </c>
      <c r="H81" s="346">
        <f>SUM(I81:O81)+P81</f>
        <v>3019.3905994800039</v>
      </c>
      <c r="I81" s="334"/>
      <c r="J81" s="335"/>
      <c r="K81" s="335"/>
      <c r="L81" s="335"/>
      <c r="M81" s="335"/>
      <c r="N81" s="356"/>
      <c r="O81" s="334"/>
      <c r="P81" s="334">
        <f>T17</f>
        <v>3019.3905994800039</v>
      </c>
      <c r="Q81" s="335">
        <v>0</v>
      </c>
      <c r="R81" s="334"/>
      <c r="S81" s="328"/>
      <c r="T81" s="328"/>
      <c r="U81" s="328"/>
      <c r="V81" s="328"/>
      <c r="W81" s="328"/>
    </row>
    <row r="82" spans="1:23" s="249" customFormat="1" ht="20.100000000000001" customHeight="1" x14ac:dyDescent="0.25">
      <c r="A82" s="352" t="s">
        <v>79</v>
      </c>
      <c r="B82" s="353" t="s">
        <v>1494</v>
      </c>
      <c r="C82" s="337"/>
      <c r="D82" s="354"/>
      <c r="E82" s="354"/>
      <c r="F82" s="355"/>
      <c r="G82" s="334">
        <f>SUM(G83:G90)</f>
        <v>22431.888999999999</v>
      </c>
      <c r="H82" s="335"/>
      <c r="I82" s="334"/>
      <c r="J82" s="335"/>
      <c r="K82" s="335"/>
      <c r="L82" s="335"/>
      <c r="M82" s="335"/>
      <c r="N82" s="356"/>
      <c r="O82" s="334"/>
      <c r="P82" s="334"/>
      <c r="Q82" s="334">
        <f>SUM(Q83:Q90)</f>
        <v>22431.888999999999</v>
      </c>
      <c r="R82" s="334"/>
      <c r="S82" s="328"/>
      <c r="T82" s="327"/>
      <c r="U82" s="328"/>
      <c r="V82" s="328"/>
      <c r="W82" s="328"/>
    </row>
    <row r="83" spans="1:23" s="247" customFormat="1" ht="20.100000000000001" customHeight="1" x14ac:dyDescent="0.25">
      <c r="A83" s="340">
        <v>1</v>
      </c>
      <c r="B83" s="341" t="s">
        <v>1492</v>
      </c>
      <c r="C83" s="342"/>
      <c r="D83" s="343"/>
      <c r="E83" s="343"/>
      <c r="F83" s="344"/>
      <c r="G83" s="345">
        <f t="shared" ref="G83:G96" si="19">H83+Q83</f>
        <v>5000</v>
      </c>
      <c r="H83" s="346"/>
      <c r="I83" s="345"/>
      <c r="J83" s="346"/>
      <c r="K83" s="346"/>
      <c r="L83" s="346"/>
      <c r="M83" s="346"/>
      <c r="N83" s="351"/>
      <c r="O83" s="345"/>
      <c r="P83" s="345"/>
      <c r="Q83" s="346">
        <v>5000</v>
      </c>
      <c r="R83" s="345"/>
    </row>
    <row r="84" spans="1:23" s="247" customFormat="1" ht="20.100000000000001" customHeight="1" x14ac:dyDescent="0.25">
      <c r="A84" s="340">
        <v>2</v>
      </c>
      <c r="B84" s="341" t="s">
        <v>1493</v>
      </c>
      <c r="C84" s="342"/>
      <c r="D84" s="343"/>
      <c r="E84" s="343"/>
      <c r="F84" s="344"/>
      <c r="G84" s="345">
        <f t="shared" si="19"/>
        <v>2000</v>
      </c>
      <c r="H84" s="346"/>
      <c r="I84" s="345"/>
      <c r="J84" s="346"/>
      <c r="K84" s="346"/>
      <c r="L84" s="346"/>
      <c r="M84" s="346"/>
      <c r="N84" s="351"/>
      <c r="O84" s="345"/>
      <c r="P84" s="345"/>
      <c r="Q84" s="346">
        <v>2000</v>
      </c>
      <c r="R84" s="345"/>
    </row>
    <row r="85" spans="1:23" s="247" customFormat="1" x14ac:dyDescent="0.25">
      <c r="A85" s="340">
        <v>3</v>
      </c>
      <c r="B85" s="341" t="s">
        <v>1488</v>
      </c>
      <c r="C85" s="342"/>
      <c r="D85" s="343"/>
      <c r="E85" s="343"/>
      <c r="F85" s="344"/>
      <c r="G85" s="345">
        <f t="shared" si="19"/>
        <v>3597.37</v>
      </c>
      <c r="H85" s="346"/>
      <c r="I85" s="345"/>
      <c r="J85" s="346"/>
      <c r="K85" s="346"/>
      <c r="L85" s="346"/>
      <c r="M85" s="346"/>
      <c r="N85" s="351"/>
      <c r="O85" s="345"/>
      <c r="P85" s="345"/>
      <c r="Q85" s="346">
        <f>'[2]Phu luc THKP giao'!$E$12</f>
        <v>3597.37</v>
      </c>
      <c r="R85" s="334"/>
    </row>
    <row r="86" spans="1:23" s="247" customFormat="1" x14ac:dyDescent="0.25">
      <c r="A86" s="340">
        <v>4</v>
      </c>
      <c r="B86" s="341" t="s">
        <v>1505</v>
      </c>
      <c r="C86" s="342"/>
      <c r="D86" s="343"/>
      <c r="E86" s="343"/>
      <c r="F86" s="344"/>
      <c r="G86" s="345">
        <f t="shared" si="19"/>
        <v>1260</v>
      </c>
      <c r="H86" s="346"/>
      <c r="I86" s="345"/>
      <c r="J86" s="346"/>
      <c r="K86" s="346"/>
      <c r="L86" s="346"/>
      <c r="M86" s="346"/>
      <c r="N86" s="351"/>
      <c r="O86" s="345"/>
      <c r="P86" s="345"/>
      <c r="Q86" s="346">
        <f>'[2]Phu luc THKP giao'!$E$11</f>
        <v>1260</v>
      </c>
      <c r="R86" s="334"/>
    </row>
    <row r="87" spans="1:23" s="247" customFormat="1" x14ac:dyDescent="0.25">
      <c r="A87" s="340">
        <v>5</v>
      </c>
      <c r="B87" s="357" t="s">
        <v>1489</v>
      </c>
      <c r="C87" s="342"/>
      <c r="D87" s="343"/>
      <c r="E87" s="343"/>
      <c r="F87" s="344"/>
      <c r="G87" s="345">
        <f t="shared" si="19"/>
        <v>4199.4660000000003</v>
      </c>
      <c r="H87" s="346"/>
      <c r="I87" s="345"/>
      <c r="J87" s="346"/>
      <c r="K87" s="346"/>
      <c r="L87" s="346"/>
      <c r="M87" s="346"/>
      <c r="N87" s="351"/>
      <c r="O87" s="345"/>
      <c r="P87" s="345"/>
      <c r="Q87" s="346">
        <f>'[2]Phu luc THKP giao'!$E$13</f>
        <v>4199.4660000000003</v>
      </c>
      <c r="R87" s="334"/>
    </row>
    <row r="88" spans="1:23" s="247" customFormat="1" x14ac:dyDescent="0.25">
      <c r="A88" s="340">
        <v>6</v>
      </c>
      <c r="B88" s="341" t="s">
        <v>1490</v>
      </c>
      <c r="C88" s="342"/>
      <c r="D88" s="343"/>
      <c r="E88" s="343"/>
      <c r="F88" s="344"/>
      <c r="G88" s="345">
        <f t="shared" si="19"/>
        <v>334.18799999999999</v>
      </c>
      <c r="H88" s="346"/>
      <c r="I88" s="345"/>
      <c r="J88" s="346"/>
      <c r="K88" s="346"/>
      <c r="L88" s="346"/>
      <c r="M88" s="346"/>
      <c r="N88" s="351"/>
      <c r="O88" s="345"/>
      <c r="P88" s="345"/>
      <c r="Q88" s="346">
        <f>'[2]Phu luc THKP giao'!$E$17</f>
        <v>334.18799999999999</v>
      </c>
      <c r="R88" s="334"/>
    </row>
    <row r="89" spans="1:23" s="247" customFormat="1" ht="17.45" customHeight="1" x14ac:dyDescent="0.25">
      <c r="A89" s="340">
        <v>7</v>
      </c>
      <c r="B89" s="341" t="s">
        <v>1491</v>
      </c>
      <c r="C89" s="342"/>
      <c r="D89" s="343"/>
      <c r="E89" s="343"/>
      <c r="F89" s="344"/>
      <c r="G89" s="345">
        <f t="shared" si="19"/>
        <v>151.86500000000001</v>
      </c>
      <c r="H89" s="346"/>
      <c r="I89" s="345"/>
      <c r="J89" s="346"/>
      <c r="K89" s="346"/>
      <c r="L89" s="346"/>
      <c r="M89" s="346"/>
      <c r="N89" s="351"/>
      <c r="O89" s="345"/>
      <c r="P89" s="345"/>
      <c r="Q89" s="346">
        <f>'[2]Phu luc THKP giao'!$E$10</f>
        <v>151.86500000000001</v>
      </c>
      <c r="R89" s="334"/>
    </row>
    <row r="90" spans="1:23" s="247" customFormat="1" ht="17.45" customHeight="1" x14ac:dyDescent="0.25">
      <c r="A90" s="340">
        <v>8</v>
      </c>
      <c r="B90" s="341" t="s">
        <v>1512</v>
      </c>
      <c r="C90" s="342"/>
      <c r="D90" s="343"/>
      <c r="E90" s="343"/>
      <c r="F90" s="344"/>
      <c r="G90" s="345">
        <f t="shared" si="19"/>
        <v>5889</v>
      </c>
      <c r="H90" s="346"/>
      <c r="I90" s="345"/>
      <c r="J90" s="346"/>
      <c r="K90" s="346"/>
      <c r="L90" s="346"/>
      <c r="M90" s="346"/>
      <c r="N90" s="351"/>
      <c r="O90" s="345"/>
      <c r="P90" s="345"/>
      <c r="Q90" s="346">
        <f>5889</f>
        <v>5889</v>
      </c>
      <c r="R90" s="334"/>
    </row>
    <row r="91" spans="1:23" s="249" customFormat="1" x14ac:dyDescent="0.25">
      <c r="A91" s="352" t="s">
        <v>89</v>
      </c>
      <c r="B91" s="353" t="s">
        <v>1500</v>
      </c>
      <c r="C91" s="337"/>
      <c r="D91" s="354"/>
      <c r="E91" s="354"/>
      <c r="F91" s="355"/>
      <c r="G91" s="334">
        <f>SUM(G92:G96)</f>
        <v>23097</v>
      </c>
      <c r="H91" s="335"/>
      <c r="I91" s="334"/>
      <c r="J91" s="335"/>
      <c r="K91" s="335"/>
      <c r="L91" s="335"/>
      <c r="M91" s="335"/>
      <c r="N91" s="356"/>
      <c r="O91" s="334"/>
      <c r="P91" s="334"/>
      <c r="Q91" s="334">
        <f>SUM(Q92:Q96)</f>
        <v>23097</v>
      </c>
      <c r="R91" s="334"/>
    </row>
    <row r="92" spans="1:23" s="247" customFormat="1" x14ac:dyDescent="0.25">
      <c r="A92" s="340">
        <v>1</v>
      </c>
      <c r="B92" s="341" t="s">
        <v>1495</v>
      </c>
      <c r="C92" s="342"/>
      <c r="D92" s="343"/>
      <c r="E92" s="343"/>
      <c r="F92" s="344"/>
      <c r="G92" s="345">
        <f t="shared" si="19"/>
        <v>11275</v>
      </c>
      <c r="H92" s="346"/>
      <c r="I92" s="345"/>
      <c r="J92" s="346"/>
      <c r="K92" s="346"/>
      <c r="L92" s="346"/>
      <c r="M92" s="346"/>
      <c r="N92" s="351"/>
      <c r="O92" s="345"/>
      <c r="P92" s="345"/>
      <c r="Q92" s="346">
        <f>'[2]Phu luc THKP giao'!$D$23</f>
        <v>11275</v>
      </c>
      <c r="R92" s="334"/>
    </row>
    <row r="93" spans="1:23" s="247" customFormat="1" x14ac:dyDescent="0.25">
      <c r="A93" s="340">
        <v>2</v>
      </c>
      <c r="B93" s="341" t="s">
        <v>1513</v>
      </c>
      <c r="C93" s="342"/>
      <c r="D93" s="343"/>
      <c r="E93" s="343"/>
      <c r="F93" s="344"/>
      <c r="G93" s="345">
        <f t="shared" si="19"/>
        <v>6637</v>
      </c>
      <c r="H93" s="346"/>
      <c r="I93" s="345"/>
      <c r="J93" s="346"/>
      <c r="K93" s="346"/>
      <c r="L93" s="346"/>
      <c r="M93" s="346"/>
      <c r="N93" s="351"/>
      <c r="O93" s="345"/>
      <c r="P93" s="345"/>
      <c r="Q93" s="346">
        <f>'[2]Phu luc THKP giao'!$D$24</f>
        <v>6637</v>
      </c>
      <c r="R93" s="334"/>
    </row>
    <row r="94" spans="1:23" s="247" customFormat="1" x14ac:dyDescent="0.25">
      <c r="A94" s="340">
        <v>3</v>
      </c>
      <c r="B94" s="357" t="s">
        <v>1496</v>
      </c>
      <c r="C94" s="342"/>
      <c r="D94" s="343"/>
      <c r="E94" s="343"/>
      <c r="F94" s="344"/>
      <c r="G94" s="345">
        <f t="shared" si="19"/>
        <v>4700</v>
      </c>
      <c r="H94" s="346"/>
      <c r="I94" s="345"/>
      <c r="J94" s="346"/>
      <c r="K94" s="346"/>
      <c r="L94" s="346"/>
      <c r="M94" s="346"/>
      <c r="N94" s="351"/>
      <c r="O94" s="345"/>
      <c r="P94" s="345"/>
      <c r="Q94" s="346">
        <f>'[2]Phu luc THKP giao'!$D$20</f>
        <v>4700</v>
      </c>
      <c r="R94" s="334"/>
    </row>
    <row r="95" spans="1:23" s="247" customFormat="1" x14ac:dyDescent="0.25">
      <c r="A95" s="340">
        <v>4</v>
      </c>
      <c r="B95" s="358" t="s">
        <v>1497</v>
      </c>
      <c r="C95" s="342"/>
      <c r="D95" s="343"/>
      <c r="E95" s="343"/>
      <c r="F95" s="344"/>
      <c r="G95" s="345">
        <f t="shared" si="19"/>
        <v>320</v>
      </c>
      <c r="H95" s="346"/>
      <c r="I95" s="345"/>
      <c r="J95" s="346"/>
      <c r="K95" s="346"/>
      <c r="L95" s="346"/>
      <c r="M95" s="346"/>
      <c r="N95" s="351"/>
      <c r="O95" s="345"/>
      <c r="P95" s="345"/>
      <c r="Q95" s="346">
        <f>'[2]Phu luc THKP giao'!$D$21</f>
        <v>320</v>
      </c>
      <c r="R95" s="334"/>
    </row>
    <row r="96" spans="1:23" s="247" customFormat="1" x14ac:dyDescent="0.25">
      <c r="A96" s="340">
        <v>5</v>
      </c>
      <c r="B96" s="358" t="s">
        <v>1498</v>
      </c>
      <c r="C96" s="342"/>
      <c r="D96" s="343"/>
      <c r="E96" s="343"/>
      <c r="F96" s="344"/>
      <c r="G96" s="345">
        <f t="shared" si="19"/>
        <v>165</v>
      </c>
      <c r="H96" s="346"/>
      <c r="I96" s="345"/>
      <c r="J96" s="346"/>
      <c r="K96" s="346"/>
      <c r="L96" s="346"/>
      <c r="M96" s="346"/>
      <c r="N96" s="351"/>
      <c r="O96" s="345"/>
      <c r="P96" s="345"/>
      <c r="Q96" s="346">
        <f>'[2]Phu luc THKP giao'!$D$22</f>
        <v>165</v>
      </c>
      <c r="R96" s="334"/>
    </row>
    <row r="97" spans="1:18" s="247" customFormat="1" x14ac:dyDescent="0.25">
      <c r="A97" s="250"/>
      <c r="B97" s="251"/>
      <c r="C97" s="252"/>
      <c r="D97" s="253"/>
      <c r="E97" s="253"/>
      <c r="F97" s="254"/>
      <c r="G97" s="255"/>
      <c r="H97" s="256"/>
      <c r="I97" s="255"/>
      <c r="J97" s="256"/>
      <c r="K97" s="256"/>
      <c r="L97" s="256"/>
      <c r="M97" s="256"/>
      <c r="N97" s="257"/>
      <c r="O97" s="255"/>
      <c r="P97" s="255"/>
      <c r="Q97" s="256"/>
      <c r="R97" s="258"/>
    </row>
    <row r="98" spans="1:18" s="247" customFormat="1" x14ac:dyDescent="0.25">
      <c r="A98" s="247" t="s">
        <v>1528</v>
      </c>
      <c r="C98" s="249"/>
      <c r="G98" s="259"/>
      <c r="H98" s="260"/>
      <c r="I98" s="248"/>
      <c r="J98" s="248"/>
      <c r="K98" s="248"/>
      <c r="L98" s="248"/>
      <c r="M98" s="248"/>
      <c r="N98" s="248"/>
      <c r="O98" s="248"/>
      <c r="P98" s="248"/>
      <c r="Q98" s="260"/>
      <c r="R98" s="261"/>
    </row>
    <row r="99" spans="1:18" x14ac:dyDescent="0.25">
      <c r="B99" s="262" t="s">
        <v>1529</v>
      </c>
    </row>
    <row r="100" spans="1:18" x14ac:dyDescent="0.25">
      <c r="A100" s="263"/>
      <c r="B100" s="262" t="s">
        <v>1530</v>
      </c>
    </row>
    <row r="101" spans="1:18" x14ac:dyDescent="0.25">
      <c r="B101" s="262" t="s">
        <v>1531</v>
      </c>
    </row>
    <row r="102" spans="1:18" x14ac:dyDescent="0.25">
      <c r="B102" s="262" t="s">
        <v>1532</v>
      </c>
    </row>
    <row r="103" spans="1:18" x14ac:dyDescent="0.25">
      <c r="B103" s="262" t="s">
        <v>1533</v>
      </c>
    </row>
    <row r="104" spans="1:18" x14ac:dyDescent="0.25">
      <c r="B104" s="262"/>
    </row>
  </sheetData>
  <mergeCells count="26">
    <mergeCell ref="R6:R10"/>
    <mergeCell ref="H7:P7"/>
    <mergeCell ref="Q7:Q10"/>
    <mergeCell ref="I8:P8"/>
    <mergeCell ref="L9:L10"/>
    <mergeCell ref="M9:O9"/>
    <mergeCell ref="P9:P10"/>
    <mergeCell ref="H8:H10"/>
    <mergeCell ref="I9:I10"/>
    <mergeCell ref="J9:J10"/>
    <mergeCell ref="K9:K10"/>
    <mergeCell ref="H6:Q6"/>
    <mergeCell ref="C6:E6"/>
    <mergeCell ref="A6:A10"/>
    <mergeCell ref="B6:B10"/>
    <mergeCell ref="F6:F10"/>
    <mergeCell ref="G6:G10"/>
    <mergeCell ref="C7:C10"/>
    <mergeCell ref="D7:D10"/>
    <mergeCell ref="E7:E10"/>
    <mergeCell ref="A1:B1"/>
    <mergeCell ref="O1:R1"/>
    <mergeCell ref="A2:R2"/>
    <mergeCell ref="A4:R4"/>
    <mergeCell ref="P5:R5"/>
    <mergeCell ref="A3:R3"/>
  </mergeCells>
  <printOptions horizontalCentered="1"/>
  <pageMargins left="0" right="0" top="0.39370078740157483" bottom="0.51181102362204722" header="0.31496062992125984" footer="0.19685039370078741"/>
  <pageSetup paperSize="9" scale="65" orientation="landscape" verticalDpi="0" r:id="rId1"/>
  <headerFooter>
    <oddFooter>&amp;F&amp;RPage &amp;P</oddFooter>
  </headerFooter>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0000"/>
  </sheetPr>
  <dimension ref="A1:Q34"/>
  <sheetViews>
    <sheetView zoomScale="110" zoomScaleNormal="110" workbookViewId="0">
      <selection activeCell="G12" sqref="G12"/>
    </sheetView>
  </sheetViews>
  <sheetFormatPr defaultColWidth="9.140625" defaultRowHeight="15.75" x14ac:dyDescent="0.25"/>
  <cols>
    <col min="1" max="1" width="5.85546875" style="61" customWidth="1"/>
    <col min="2" max="2" width="28.7109375" style="61" customWidth="1"/>
    <col min="3" max="3" width="11.85546875" style="61" customWidth="1"/>
    <col min="4" max="4" width="11.28515625" style="61" customWidth="1"/>
    <col min="5" max="5" width="11.42578125" style="61" customWidth="1"/>
    <col min="6" max="6" width="10.28515625" style="61" customWidth="1"/>
    <col min="7" max="7" width="9.140625" style="61"/>
    <col min="8" max="8" width="13.5703125" style="61" bestFit="1" customWidth="1"/>
    <col min="9" max="9" width="9.85546875" style="61" customWidth="1"/>
    <col min="10" max="10" width="10.42578125" style="61" customWidth="1"/>
    <col min="11" max="11" width="9.140625" style="61"/>
    <col min="12" max="12" width="9.85546875" style="61" customWidth="1"/>
    <col min="13" max="13" width="11.5703125" style="61" customWidth="1"/>
    <col min="14" max="14" width="12.28515625" style="61" customWidth="1"/>
    <col min="15" max="15" width="11.85546875" style="61" customWidth="1"/>
    <col min="16" max="16" width="10" style="61" customWidth="1"/>
    <col min="17" max="17" width="13.42578125" style="61" customWidth="1"/>
    <col min="18" max="16384" width="9.140625" style="61"/>
  </cols>
  <sheetData>
    <row r="1" spans="1:17" x14ac:dyDescent="0.25">
      <c r="O1" s="466" t="s">
        <v>1249</v>
      </c>
      <c r="P1" s="466"/>
      <c r="Q1" s="466"/>
    </row>
    <row r="2" spans="1:17" ht="15.75" customHeight="1" x14ac:dyDescent="0.25">
      <c r="A2" s="448" t="s">
        <v>1332</v>
      </c>
      <c r="B2" s="448"/>
      <c r="C2" s="448"/>
      <c r="D2" s="448"/>
      <c r="E2" s="448"/>
      <c r="F2" s="448"/>
      <c r="G2" s="448"/>
      <c r="H2" s="448"/>
      <c r="I2" s="448"/>
      <c r="J2" s="448"/>
      <c r="K2" s="448"/>
      <c r="L2" s="448"/>
      <c r="M2" s="448"/>
      <c r="N2" s="448"/>
      <c r="O2" s="448"/>
      <c r="P2" s="448"/>
      <c r="Q2" s="448"/>
    </row>
    <row r="3" spans="1:17" ht="22.5" customHeight="1" x14ac:dyDescent="0.25">
      <c r="A3" s="417" t="str">
        <f>'PL 01'!A3:C3</f>
        <v>(Dự toán trình Hội đồng nhân dân huyện)</v>
      </c>
      <c r="B3" s="417"/>
      <c r="C3" s="417"/>
      <c r="D3" s="417"/>
      <c r="E3" s="417"/>
      <c r="F3" s="417"/>
      <c r="G3" s="417"/>
      <c r="H3" s="417"/>
      <c r="I3" s="417"/>
      <c r="J3" s="417"/>
      <c r="K3" s="417"/>
      <c r="L3" s="417"/>
      <c r="M3" s="417"/>
      <c r="N3" s="417"/>
      <c r="O3" s="417"/>
      <c r="P3" s="417"/>
      <c r="Q3" s="417"/>
    </row>
    <row r="4" spans="1:17" ht="15.95" customHeight="1" x14ac:dyDescent="0.25">
      <c r="A4" s="463" t="str">
        <f>'PL 01'!A4:C4</f>
        <v>(Kèm theo Báo cáo số: 431/BC-UBND ngày 29 tháng 12 năm 2023 của UBND huyện Phụng Hiệp)</v>
      </c>
      <c r="B4" s="463"/>
      <c r="C4" s="463"/>
      <c r="D4" s="463"/>
      <c r="E4" s="463"/>
      <c r="F4" s="463"/>
      <c r="G4" s="463"/>
      <c r="H4" s="463"/>
      <c r="I4" s="463"/>
      <c r="J4" s="463"/>
      <c r="K4" s="463"/>
      <c r="L4" s="463"/>
      <c r="M4" s="463"/>
      <c r="N4" s="463"/>
      <c r="O4" s="463"/>
      <c r="P4" s="463"/>
      <c r="Q4" s="463"/>
    </row>
    <row r="5" spans="1:17" x14ac:dyDescent="0.25">
      <c r="O5" s="467" t="s">
        <v>1109</v>
      </c>
      <c r="P5" s="467"/>
      <c r="Q5" s="467"/>
    </row>
    <row r="6" spans="1:17" x14ac:dyDescent="0.25">
      <c r="A6" s="449" t="s">
        <v>3</v>
      </c>
      <c r="B6" s="449" t="s">
        <v>161</v>
      </c>
      <c r="C6" s="449" t="s">
        <v>483</v>
      </c>
      <c r="D6" s="449" t="s">
        <v>974</v>
      </c>
      <c r="E6" s="449" t="s">
        <v>469</v>
      </c>
      <c r="F6" s="449"/>
      <c r="G6" s="449"/>
      <c r="H6" s="449"/>
      <c r="I6" s="449"/>
      <c r="J6" s="449"/>
      <c r="K6" s="449"/>
      <c r="L6" s="449"/>
      <c r="M6" s="529" t="s">
        <v>972</v>
      </c>
      <c r="N6" s="530"/>
      <c r="O6" s="529" t="s">
        <v>1508</v>
      </c>
      <c r="P6" s="531" t="s">
        <v>975</v>
      </c>
      <c r="Q6" s="529" t="s">
        <v>976</v>
      </c>
    </row>
    <row r="7" spans="1:17" ht="37.5" customHeight="1" x14ac:dyDescent="0.25">
      <c r="A7" s="449"/>
      <c r="B7" s="449"/>
      <c r="C7" s="449"/>
      <c r="D7" s="449"/>
      <c r="E7" s="449" t="s">
        <v>954</v>
      </c>
      <c r="F7" s="449" t="s">
        <v>955</v>
      </c>
      <c r="G7" s="449" t="s">
        <v>956</v>
      </c>
      <c r="H7" s="449" t="s">
        <v>1298</v>
      </c>
      <c r="I7" s="449"/>
      <c r="J7" s="449" t="s">
        <v>973</v>
      </c>
      <c r="K7" s="449" t="s">
        <v>957</v>
      </c>
      <c r="L7" s="449" t="s">
        <v>958</v>
      </c>
      <c r="M7" s="530"/>
      <c r="N7" s="530"/>
      <c r="O7" s="530"/>
      <c r="P7" s="532"/>
      <c r="Q7" s="530"/>
    </row>
    <row r="8" spans="1:17" ht="75" customHeight="1" x14ac:dyDescent="0.25">
      <c r="A8" s="449"/>
      <c r="B8" s="449"/>
      <c r="C8" s="449"/>
      <c r="D8" s="449"/>
      <c r="E8" s="449"/>
      <c r="F8" s="449"/>
      <c r="G8" s="449"/>
      <c r="H8" s="403" t="s">
        <v>966</v>
      </c>
      <c r="I8" s="403" t="s">
        <v>1299</v>
      </c>
      <c r="J8" s="449"/>
      <c r="K8" s="449"/>
      <c r="L8" s="449"/>
      <c r="M8" s="397" t="s">
        <v>968</v>
      </c>
      <c r="N8" s="397" t="s">
        <v>967</v>
      </c>
      <c r="O8" s="530"/>
      <c r="P8" s="532"/>
      <c r="Q8" s="530"/>
    </row>
    <row r="9" spans="1:17" s="405" customFormat="1" ht="21.95" customHeight="1" x14ac:dyDescent="0.25">
      <c r="A9" s="196" t="s">
        <v>15</v>
      </c>
      <c r="B9" s="196" t="s">
        <v>16</v>
      </c>
      <c r="C9" s="196">
        <v>1</v>
      </c>
      <c r="D9" s="196" t="s">
        <v>964</v>
      </c>
      <c r="E9" s="196">
        <v>3</v>
      </c>
      <c r="F9" s="196">
        <v>4</v>
      </c>
      <c r="G9" s="196">
        <v>5</v>
      </c>
      <c r="H9" s="196">
        <v>6</v>
      </c>
      <c r="I9" s="196"/>
      <c r="J9" s="196">
        <v>7</v>
      </c>
      <c r="K9" s="196">
        <v>8</v>
      </c>
      <c r="L9" s="196">
        <v>9</v>
      </c>
      <c r="M9" s="404">
        <v>10</v>
      </c>
      <c r="N9" s="404">
        <v>11</v>
      </c>
      <c r="O9" s="404">
        <v>12</v>
      </c>
      <c r="P9" s="404">
        <v>13</v>
      </c>
      <c r="Q9" s="404">
        <v>14</v>
      </c>
    </row>
    <row r="10" spans="1:17" ht="24.95" customHeight="1" x14ac:dyDescent="0.25">
      <c r="A10" s="44"/>
      <c r="B10" s="395" t="s">
        <v>133</v>
      </c>
      <c r="C10" s="319">
        <f>D10</f>
        <v>110610</v>
      </c>
      <c r="D10" s="319">
        <f>SUM(D11:D26)</f>
        <v>110610</v>
      </c>
      <c r="E10" s="319">
        <f>SUM(E11:E26)</f>
        <v>49900</v>
      </c>
      <c r="F10" s="319">
        <f>SUM(F11:F26)</f>
        <v>25610</v>
      </c>
      <c r="G10" s="319">
        <f>SUM(G11:G26)</f>
        <v>3500</v>
      </c>
      <c r="H10" s="319">
        <f t="shared" ref="H10:I10" si="0">SUM(H11:H26)</f>
        <v>19420</v>
      </c>
      <c r="I10" s="319">
        <f t="shared" si="0"/>
        <v>4580</v>
      </c>
      <c r="J10" s="319">
        <f>SUM(J11:J26)</f>
        <v>5300</v>
      </c>
      <c r="K10" s="319">
        <f>SUM(K11:K26)</f>
        <v>0</v>
      </c>
      <c r="L10" s="319">
        <f>SUM(L11:L26)</f>
        <v>2300</v>
      </c>
      <c r="M10" s="319">
        <f>M11+SUM(M12:M26)</f>
        <v>515704</v>
      </c>
      <c r="N10" s="319">
        <f>N11+SUM(N12:N26)</f>
        <v>70013</v>
      </c>
      <c r="O10" s="319">
        <f t="shared" ref="O10:P10" si="1">SUM(O11:O26)</f>
        <v>67835</v>
      </c>
      <c r="P10" s="319">
        <f t="shared" si="1"/>
        <v>0</v>
      </c>
      <c r="Q10" s="319">
        <f>SUM(Q11:Q26)</f>
        <v>764162.00000000012</v>
      </c>
    </row>
    <row r="11" spans="1:17" ht="24.95" customHeight="1" x14ac:dyDescent="0.25">
      <c r="A11" s="44">
        <v>1</v>
      </c>
      <c r="B11" s="62" t="s">
        <v>341</v>
      </c>
      <c r="C11" s="320">
        <f>D11</f>
        <v>90190</v>
      </c>
      <c r="D11" s="320">
        <f>SUM(E11:L11)</f>
        <v>90190</v>
      </c>
      <c r="E11" s="320">
        <f>'[1]DT THU NSNN MAU 32'!E11-SUM(E12:E26)</f>
        <v>36740</v>
      </c>
      <c r="F11" s="320">
        <f>'[1]DT THU NSNN MAU 32'!F11</f>
        <v>25610</v>
      </c>
      <c r="G11" s="320">
        <f>'[1]DT THU NSNN MAU 32'!G11</f>
        <v>3500</v>
      </c>
      <c r="H11" s="320">
        <f>'[1]DT THU NSNN MAU 32'!H11</f>
        <v>19420</v>
      </c>
      <c r="I11" s="320">
        <v>0</v>
      </c>
      <c r="J11" s="320">
        <f>'[1]DT THU NSNN MAU 32'!J12+'[1]DT THU NSNN MAU 32'!J13</f>
        <v>3480</v>
      </c>
      <c r="K11" s="320">
        <v>0</v>
      </c>
      <c r="L11" s="320">
        <f>'[1]DT THU NSNN MAU 32'!N12-400</f>
        <v>1440</v>
      </c>
      <c r="M11" s="321">
        <f>(764162-67835-2773-1747-SUM(M12:M26))-C10-N11</f>
        <v>433372.99805264</v>
      </c>
      <c r="N11" s="198">
        <f>(8742+13074+48197)-SUM(N12:N26)</f>
        <v>65493</v>
      </c>
      <c r="O11" s="198">
        <v>67835</v>
      </c>
      <c r="P11" s="322">
        <v>0</v>
      </c>
      <c r="Q11" s="323">
        <f>D11+M11+N11+O11</f>
        <v>656890.99805264</v>
      </c>
    </row>
    <row r="12" spans="1:17" ht="24.95" customHeight="1" x14ac:dyDescent="0.25">
      <c r="A12" s="44">
        <v>2</v>
      </c>
      <c r="B12" s="62" t="s">
        <v>938</v>
      </c>
      <c r="C12" s="320">
        <f t="shared" ref="C12:C26" si="2">D12</f>
        <v>2590</v>
      </c>
      <c r="D12" s="320">
        <f>SUM(E12:L12)</f>
        <v>2590</v>
      </c>
      <c r="E12" s="320">
        <f>'[1]DT THU NSNN MAU 32'!E16</f>
        <v>1930</v>
      </c>
      <c r="F12" s="320">
        <v>0</v>
      </c>
      <c r="G12" s="320">
        <v>0</v>
      </c>
      <c r="H12" s="320">
        <v>0</v>
      </c>
      <c r="I12" s="320">
        <f>'[1]DT THU NSNN MAU 32'!I16</f>
        <v>360</v>
      </c>
      <c r="J12" s="320">
        <f>'[1]DT THU NSNN MAU 32'!J16</f>
        <v>230</v>
      </c>
      <c r="K12" s="320">
        <v>0</v>
      </c>
      <c r="L12" s="320">
        <f>'[1]DT THU NSNN MAU 32'!N16</f>
        <v>70</v>
      </c>
      <c r="M12" s="324">
        <f>'[3]PL 06'!D10-'[3]PL 05'!C13-N12</f>
        <v>3500.9288176000005</v>
      </c>
      <c r="N12" s="198">
        <f>'[1]DT CHI NS XA 41'!D37+'[1]DT CHI NS XA 41'!D41+'[1]DT CHI NS XA 41'!D36+81.9</f>
        <v>204.1</v>
      </c>
      <c r="O12" s="322">
        <v>0</v>
      </c>
      <c r="P12" s="322">
        <v>0</v>
      </c>
      <c r="Q12" s="323">
        <f>D12+M12+N12</f>
        <v>6295.0288176000013</v>
      </c>
    </row>
    <row r="13" spans="1:17" ht="24.95" customHeight="1" x14ac:dyDescent="0.25">
      <c r="A13" s="44">
        <v>3</v>
      </c>
      <c r="B13" s="62" t="s">
        <v>939</v>
      </c>
      <c r="C13" s="320">
        <f t="shared" si="2"/>
        <v>1720</v>
      </c>
      <c r="D13" s="320">
        <f t="shared" ref="D13:D26" si="3">SUM(E13:L13)</f>
        <v>1720</v>
      </c>
      <c r="E13" s="320">
        <f>'[1]DT THU NSNN MAU 32'!E17</f>
        <v>1140</v>
      </c>
      <c r="F13" s="320">
        <v>0</v>
      </c>
      <c r="G13" s="320">
        <v>0</v>
      </c>
      <c r="H13" s="320">
        <v>0</v>
      </c>
      <c r="I13" s="320">
        <f>'[1]DT THU NSNN MAU 32'!I17</f>
        <v>340</v>
      </c>
      <c r="J13" s="320">
        <f>'[1]DT THU NSNN MAU 32'!J17</f>
        <v>190</v>
      </c>
      <c r="K13" s="320">
        <v>0</v>
      </c>
      <c r="L13" s="320">
        <f>'[1]DT THU NSNN MAU 32'!N17</f>
        <v>50</v>
      </c>
      <c r="M13" s="324">
        <f>'[3]PL 06'!E10-'[3]PL 05'!C14-N13</f>
        <v>4140.0665867999996</v>
      </c>
      <c r="N13" s="198">
        <f>'[1]DT CHI NS XA 41'!E37+'[1]DT CHI NS XA 41'!E41+'[1]DT CHI NS XA 41'!E36+81.9</f>
        <v>216.8</v>
      </c>
      <c r="O13" s="322">
        <v>0</v>
      </c>
      <c r="P13" s="322">
        <v>0</v>
      </c>
      <c r="Q13" s="323">
        <f t="shared" ref="Q13:Q26" si="4">D13+M13+N13</f>
        <v>6076.8665867999998</v>
      </c>
    </row>
    <row r="14" spans="1:17" ht="24.95" customHeight="1" x14ac:dyDescent="0.25">
      <c r="A14" s="44">
        <v>4</v>
      </c>
      <c r="B14" s="62" t="s">
        <v>940</v>
      </c>
      <c r="C14" s="320">
        <f t="shared" si="2"/>
        <v>2950</v>
      </c>
      <c r="D14" s="320">
        <f t="shared" si="3"/>
        <v>2950</v>
      </c>
      <c r="E14" s="320">
        <f>'[1]DT THU NSNN MAU 32'!E18</f>
        <v>2190</v>
      </c>
      <c r="F14" s="320">
        <v>0</v>
      </c>
      <c r="G14" s="320">
        <v>0</v>
      </c>
      <c r="H14" s="320">
        <v>0</v>
      </c>
      <c r="I14" s="320">
        <f>'[1]DT THU NSNN MAU 32'!I18</f>
        <v>490</v>
      </c>
      <c r="J14" s="320">
        <f>'[1]DT THU NSNN MAU 32'!J18</f>
        <v>210</v>
      </c>
      <c r="K14" s="320">
        <v>0</v>
      </c>
      <c r="L14" s="320">
        <f>'[1]DT THU NSNN MAU 32'!N18</f>
        <v>60</v>
      </c>
      <c r="M14" s="324">
        <f>'[3]PL 06'!F10-'[3]PL 05'!C15-N14</f>
        <v>4709.3017954799989</v>
      </c>
      <c r="N14" s="198">
        <f>'[1]DT CHI NS XA 41'!F37+'[1]DT CHI NS XA 41'!F41+'[1]DT CHI NS XA 41'!F36+150.15</f>
        <v>391.85</v>
      </c>
      <c r="O14" s="322">
        <v>0</v>
      </c>
      <c r="P14" s="322">
        <v>0</v>
      </c>
      <c r="Q14" s="323">
        <f t="shared" si="4"/>
        <v>8051.1517954799992</v>
      </c>
    </row>
    <row r="15" spans="1:17" ht="24.95" customHeight="1" x14ac:dyDescent="0.25">
      <c r="A15" s="44">
        <v>5</v>
      </c>
      <c r="B15" s="62" t="s">
        <v>941</v>
      </c>
      <c r="C15" s="320">
        <f t="shared" si="2"/>
        <v>1760</v>
      </c>
      <c r="D15" s="320">
        <f t="shared" si="3"/>
        <v>1760</v>
      </c>
      <c r="E15" s="320">
        <f>'[1]DT THU NSNN MAU 32'!E19</f>
        <v>1090</v>
      </c>
      <c r="F15" s="320">
        <v>0</v>
      </c>
      <c r="G15" s="320">
        <v>0</v>
      </c>
      <c r="H15" s="320">
        <v>0</v>
      </c>
      <c r="I15" s="320">
        <f>'[1]DT THU NSNN MAU 32'!I19</f>
        <v>410</v>
      </c>
      <c r="J15" s="320">
        <f>'[1]DT THU NSNN MAU 32'!J19</f>
        <v>180</v>
      </c>
      <c r="K15" s="320">
        <v>0</v>
      </c>
      <c r="L15" s="320">
        <f>'[1]DT THU NSNN MAU 32'!N19</f>
        <v>80</v>
      </c>
      <c r="M15" s="324">
        <f>'[3]PL 06'!G10-'[3]PL 05'!C16-N15</f>
        <v>5982.6516743999991</v>
      </c>
      <c r="N15" s="198">
        <f>'[1]DT CHI NS XA 41'!G37+'[1]DT CHI NS XA 41'!G41+'[1]DT CHI NS XA 41'!G36+136.5</f>
        <v>384.4</v>
      </c>
      <c r="O15" s="322">
        <v>0</v>
      </c>
      <c r="P15" s="322">
        <v>0</v>
      </c>
      <c r="Q15" s="323">
        <f t="shared" si="4"/>
        <v>8127.0516743999988</v>
      </c>
    </row>
    <row r="16" spans="1:17" ht="24.95" customHeight="1" x14ac:dyDescent="0.25">
      <c r="A16" s="44">
        <v>6</v>
      </c>
      <c r="B16" s="62" t="s">
        <v>942</v>
      </c>
      <c r="C16" s="320">
        <f t="shared" si="2"/>
        <v>1800</v>
      </c>
      <c r="D16" s="320">
        <f t="shared" si="3"/>
        <v>1800</v>
      </c>
      <c r="E16" s="320">
        <f>'[1]DT THU NSNN MAU 32'!E20</f>
        <v>1240</v>
      </c>
      <c r="F16" s="320">
        <v>0</v>
      </c>
      <c r="G16" s="320">
        <v>0</v>
      </c>
      <c r="H16" s="320">
        <v>0</v>
      </c>
      <c r="I16" s="320">
        <f>'[1]DT THU NSNN MAU 32'!I20</f>
        <v>360</v>
      </c>
      <c r="J16" s="320">
        <f>'[1]DT THU NSNN MAU 32'!J20</f>
        <v>130</v>
      </c>
      <c r="K16" s="320">
        <v>0</v>
      </c>
      <c r="L16" s="320">
        <f>'[1]DT THU NSNN MAU 32'!N20</f>
        <v>70</v>
      </c>
      <c r="M16" s="324">
        <f>'[4]DT CHI NS XA 41'!H10-'[4]DT THU, CHI NSDP VA BSCĐ 39'!C17-N16</f>
        <v>5297.46964544</v>
      </c>
      <c r="N16" s="198">
        <f>'[1]DT CHI NS XA 41'!H37+'[1]DT CHI NS XA 41'!H41+'[1]DT CHI NS XA 41'!H36+136.5</f>
        <v>359.79999999999995</v>
      </c>
      <c r="O16" s="322">
        <v>0</v>
      </c>
      <c r="P16" s="322">
        <v>0</v>
      </c>
      <c r="Q16" s="323">
        <f t="shared" si="4"/>
        <v>7457.2696454400002</v>
      </c>
    </row>
    <row r="17" spans="1:17" ht="24.95" customHeight="1" x14ac:dyDescent="0.25">
      <c r="A17" s="44">
        <v>7</v>
      </c>
      <c r="B17" s="62" t="s">
        <v>943</v>
      </c>
      <c r="C17" s="320">
        <f t="shared" si="2"/>
        <v>1720</v>
      </c>
      <c r="D17" s="320">
        <f t="shared" si="3"/>
        <v>1720</v>
      </c>
      <c r="E17" s="320">
        <f>'[1]DT THU NSNN MAU 32'!E21</f>
        <v>1220</v>
      </c>
      <c r="F17" s="320">
        <v>0</v>
      </c>
      <c r="G17" s="320">
        <v>0</v>
      </c>
      <c r="H17" s="320">
        <v>0</v>
      </c>
      <c r="I17" s="320">
        <f>'[1]DT THU NSNN MAU 32'!I21</f>
        <v>310</v>
      </c>
      <c r="J17" s="320">
        <f>'[1]DT THU NSNN MAU 32'!J21</f>
        <v>130</v>
      </c>
      <c r="K17" s="320">
        <v>0</v>
      </c>
      <c r="L17" s="320">
        <f>'[1]DT THU NSNN MAU 32'!N21</f>
        <v>60</v>
      </c>
      <c r="M17" s="324">
        <f>'[4]DT CHI NS XA 41'!I10-'[4]DT THU, CHI NSDP VA BSCĐ 39'!C18-N17</f>
        <v>4947.6339775200013</v>
      </c>
      <c r="N17" s="198">
        <f>'[1]DT CHI NS XA 41'!I37+'[1]DT CHI NS XA 41'!I41+'[1]DT CHI NS XA 41'!I36+109.2</f>
        <v>313.7</v>
      </c>
      <c r="O17" s="322">
        <v>0</v>
      </c>
      <c r="P17" s="322">
        <v>0</v>
      </c>
      <c r="Q17" s="323">
        <f t="shared" si="4"/>
        <v>6981.3339775200011</v>
      </c>
    </row>
    <row r="18" spans="1:17" ht="24.95" customHeight="1" x14ac:dyDescent="0.25">
      <c r="A18" s="44">
        <v>8</v>
      </c>
      <c r="B18" s="62" t="s">
        <v>944</v>
      </c>
      <c r="C18" s="320">
        <f t="shared" si="2"/>
        <v>320</v>
      </c>
      <c r="D18" s="320">
        <f t="shared" si="3"/>
        <v>320</v>
      </c>
      <c r="E18" s="320">
        <f>'[1]DT THU NSNN MAU 32'!E22</f>
        <v>100</v>
      </c>
      <c r="F18" s="320">
        <v>0</v>
      </c>
      <c r="G18" s="320">
        <v>0</v>
      </c>
      <c r="H18" s="320">
        <v>0</v>
      </c>
      <c r="I18" s="320">
        <f>'[1]DT THU NSNN MAU 32'!I22</f>
        <v>140</v>
      </c>
      <c r="J18" s="320">
        <f>'[1]DT THU NSNN MAU 32'!J22</f>
        <v>50</v>
      </c>
      <c r="K18" s="320">
        <v>0</v>
      </c>
      <c r="L18" s="320">
        <f>'[1]DT THU NSNN MAU 32'!N22</f>
        <v>30</v>
      </c>
      <c r="M18" s="324">
        <f>'[4]DT CHI NS XA 41'!J10-'[4]DT THU, CHI NSDP VA BSCĐ 39'!C19-N18</f>
        <v>6001.4592041600008</v>
      </c>
      <c r="N18" s="198">
        <f>'[1]DT CHI NS XA 41'!J37+'[1]DT CHI NS XA 41'!J41+'[1]DT CHI NS XA 41'!J36+81.9</f>
        <v>221.3</v>
      </c>
      <c r="O18" s="322">
        <v>0</v>
      </c>
      <c r="P18" s="322">
        <v>0</v>
      </c>
      <c r="Q18" s="323">
        <f t="shared" si="4"/>
        <v>6542.759204160001</v>
      </c>
    </row>
    <row r="19" spans="1:17" ht="24.95" customHeight="1" x14ac:dyDescent="0.25">
      <c r="A19" s="44">
        <v>9</v>
      </c>
      <c r="B19" s="62" t="s">
        <v>945</v>
      </c>
      <c r="C19" s="320">
        <f t="shared" si="2"/>
        <v>880</v>
      </c>
      <c r="D19" s="320">
        <f t="shared" si="3"/>
        <v>880</v>
      </c>
      <c r="E19" s="320">
        <f>'[1]DT THU NSNN MAU 32'!E23</f>
        <v>340</v>
      </c>
      <c r="F19" s="320">
        <v>0</v>
      </c>
      <c r="G19" s="320">
        <v>0</v>
      </c>
      <c r="H19" s="320">
        <v>0</v>
      </c>
      <c r="I19" s="320">
        <f>'[1]DT THU NSNN MAU 32'!I23</f>
        <v>420</v>
      </c>
      <c r="J19" s="320">
        <f>'[1]DT THU NSNN MAU 32'!J23</f>
        <v>60</v>
      </c>
      <c r="K19" s="320">
        <v>0</v>
      </c>
      <c r="L19" s="320">
        <f>'[1]DT THU NSNN MAU 32'!N23</f>
        <v>60</v>
      </c>
      <c r="M19" s="324">
        <f>'[4]DT CHI NS XA 41'!K10-'[4]DT THU, CHI NSDP VA BSCĐ 39'!C20-N19</f>
        <v>7478.7103959999995</v>
      </c>
      <c r="N19" s="198">
        <f>'[1]DT CHI NS XA 41'!K37+'[1]DT CHI NS XA 41'!K41+'[1]DT CHI NS XA 41'!K36+177.45</f>
        <v>399.54999999999995</v>
      </c>
      <c r="O19" s="322">
        <v>0</v>
      </c>
      <c r="P19" s="322">
        <v>0</v>
      </c>
      <c r="Q19" s="323">
        <f t="shared" si="4"/>
        <v>8758.2603959999979</v>
      </c>
    </row>
    <row r="20" spans="1:17" ht="24.95" customHeight="1" x14ac:dyDescent="0.25">
      <c r="A20" s="44">
        <v>10</v>
      </c>
      <c r="B20" s="62" t="s">
        <v>946</v>
      </c>
      <c r="C20" s="320">
        <f t="shared" si="2"/>
        <v>1020</v>
      </c>
      <c r="D20" s="320">
        <f t="shared" si="3"/>
        <v>1020</v>
      </c>
      <c r="E20" s="320">
        <f>'[1]DT THU NSNN MAU 32'!E24</f>
        <v>760</v>
      </c>
      <c r="F20" s="320">
        <v>0</v>
      </c>
      <c r="G20" s="320">
        <v>0</v>
      </c>
      <c r="H20" s="320">
        <v>0</v>
      </c>
      <c r="I20" s="320">
        <f>'[1]DT THU NSNN MAU 32'!I24</f>
        <v>120</v>
      </c>
      <c r="J20" s="320">
        <f>'[1]DT THU NSNN MAU 32'!J24</f>
        <v>90</v>
      </c>
      <c r="K20" s="320">
        <v>0</v>
      </c>
      <c r="L20" s="320">
        <f>'[1]DT THU NSNN MAU 32'!N24</f>
        <v>50</v>
      </c>
      <c r="M20" s="324">
        <f>'[4]DT CHI NS XA 41'!L10-'[4]DT THU, CHI NSDP VA BSCĐ 39'!C21-N20</f>
        <v>4244.3532719599989</v>
      </c>
      <c r="N20" s="198">
        <f>'[1]DT CHI NS XA 41'!L37+'[1]DT CHI NS XA 41'!L41+'[1]DT CHI NS XA 41'!L36+54.6</f>
        <v>153.1</v>
      </c>
      <c r="O20" s="322">
        <v>0</v>
      </c>
      <c r="P20" s="322">
        <v>0</v>
      </c>
      <c r="Q20" s="323">
        <f t="shared" si="4"/>
        <v>5417.4532719599993</v>
      </c>
    </row>
    <row r="21" spans="1:17" ht="24.95" customHeight="1" x14ac:dyDescent="0.25">
      <c r="A21" s="44">
        <v>11</v>
      </c>
      <c r="B21" s="62" t="s">
        <v>1090</v>
      </c>
      <c r="C21" s="320">
        <f t="shared" si="2"/>
        <v>870</v>
      </c>
      <c r="D21" s="320">
        <f t="shared" si="3"/>
        <v>870</v>
      </c>
      <c r="E21" s="320">
        <f>'[1]DT THU NSNN MAU 32'!E25</f>
        <v>490</v>
      </c>
      <c r="F21" s="320">
        <v>0</v>
      </c>
      <c r="G21" s="320">
        <v>0</v>
      </c>
      <c r="H21" s="320">
        <v>0</v>
      </c>
      <c r="I21" s="320">
        <f>'[1]DT THU NSNN MAU 32'!I25</f>
        <v>250</v>
      </c>
      <c r="J21" s="320">
        <f>'[1]DT THU NSNN MAU 32'!J25</f>
        <v>80</v>
      </c>
      <c r="K21" s="320">
        <v>0</v>
      </c>
      <c r="L21" s="320">
        <f>'[1]DT THU NSNN MAU 32'!N25</f>
        <v>50</v>
      </c>
      <c r="M21" s="324">
        <f>'[4]DT CHI NS XA 41'!M10-'[4]DT THU, CHI NSDP VA BSCĐ 39'!C22-N21</f>
        <v>5813.2794167999982</v>
      </c>
      <c r="N21" s="198">
        <f>'[1]DT CHI NS XA 41'!M37+'[1]DT CHI NS XA 41'!M41+'[1]DT CHI NS XA 41'!M36+122.85</f>
        <v>283.35000000000002</v>
      </c>
      <c r="O21" s="322">
        <v>0</v>
      </c>
      <c r="P21" s="322">
        <v>0</v>
      </c>
      <c r="Q21" s="323">
        <f t="shared" si="4"/>
        <v>6966.6294167999986</v>
      </c>
    </row>
    <row r="22" spans="1:17" ht="24.95" customHeight="1" x14ac:dyDescent="0.25">
      <c r="A22" s="44">
        <v>12</v>
      </c>
      <c r="B22" s="62" t="s">
        <v>947</v>
      </c>
      <c r="C22" s="320">
        <f t="shared" si="2"/>
        <v>630</v>
      </c>
      <c r="D22" s="320">
        <f t="shared" si="3"/>
        <v>630</v>
      </c>
      <c r="E22" s="320">
        <f>'[1]DT THU NSNN MAU 32'!E26</f>
        <v>410</v>
      </c>
      <c r="F22" s="320">
        <v>0</v>
      </c>
      <c r="G22" s="320">
        <v>0</v>
      </c>
      <c r="H22" s="320">
        <v>0</v>
      </c>
      <c r="I22" s="320">
        <f>'[1]DT THU NSNN MAU 32'!I26</f>
        <v>110</v>
      </c>
      <c r="J22" s="320">
        <f>'[1]DT THU NSNN MAU 32'!J26</f>
        <v>60</v>
      </c>
      <c r="K22" s="320">
        <v>0</v>
      </c>
      <c r="L22" s="320">
        <f>'[1]DT THU NSNN MAU 32'!N26</f>
        <v>50</v>
      </c>
      <c r="M22" s="324">
        <f>'[4]DT CHI NS XA 41'!N10-'[4]DT THU, CHI NSDP VA BSCĐ 39'!C23-N22</f>
        <v>5348.272923999999</v>
      </c>
      <c r="N22" s="198">
        <f>'[1]DT CHI NS XA 41'!N37+'[1]DT CHI NS XA 41'!N41+'[1]DT CHI NS XA 41'!N36+81.9</f>
        <v>220.1</v>
      </c>
      <c r="O22" s="322">
        <v>0</v>
      </c>
      <c r="P22" s="322">
        <v>0</v>
      </c>
      <c r="Q22" s="323">
        <f t="shared" si="4"/>
        <v>6198.3729239999993</v>
      </c>
    </row>
    <row r="23" spans="1:17" ht="24.95" customHeight="1" x14ac:dyDescent="0.25">
      <c r="A23" s="44">
        <v>13</v>
      </c>
      <c r="B23" s="62" t="s">
        <v>948</v>
      </c>
      <c r="C23" s="320">
        <f t="shared" si="2"/>
        <v>1280</v>
      </c>
      <c r="D23" s="320">
        <f t="shared" si="3"/>
        <v>1280</v>
      </c>
      <c r="E23" s="320">
        <f>'[1]DT THU NSNN MAU 32'!E27</f>
        <v>900</v>
      </c>
      <c r="F23" s="320">
        <v>0</v>
      </c>
      <c r="G23" s="320">
        <v>0</v>
      </c>
      <c r="H23" s="320">
        <v>0</v>
      </c>
      <c r="I23" s="320">
        <f>'[1]DT THU NSNN MAU 32'!I27</f>
        <v>210</v>
      </c>
      <c r="J23" s="320">
        <f>'[1]DT THU NSNN MAU 32'!J27</f>
        <v>100</v>
      </c>
      <c r="K23" s="320">
        <v>0</v>
      </c>
      <c r="L23" s="320">
        <f>'[1]DT THU NSNN MAU 32'!N27</f>
        <v>70</v>
      </c>
      <c r="M23" s="324">
        <f>'[4]DT CHI NS XA 41'!O10-'[4]DT THU, CHI NSDP VA BSCĐ 39'!C24-N23</f>
        <v>5564.8708080799997</v>
      </c>
      <c r="N23" s="198">
        <f>'[1]DT CHI NS XA 41'!O37+'[1]DT CHI NS XA 41'!O41+'[1]DT CHI NS XA 41'!O36+109.2</f>
        <v>343.1</v>
      </c>
      <c r="O23" s="322">
        <v>0</v>
      </c>
      <c r="P23" s="322">
        <v>0</v>
      </c>
      <c r="Q23" s="323">
        <f t="shared" si="4"/>
        <v>7187.9708080800001</v>
      </c>
    </row>
    <row r="24" spans="1:17" ht="24.95" customHeight="1" x14ac:dyDescent="0.25">
      <c r="A24" s="44">
        <v>14</v>
      </c>
      <c r="B24" s="62" t="s">
        <v>949</v>
      </c>
      <c r="C24" s="320">
        <f t="shared" si="2"/>
        <v>1140</v>
      </c>
      <c r="D24" s="320">
        <f t="shared" si="3"/>
        <v>1140</v>
      </c>
      <c r="E24" s="320">
        <f>'[1]DT THU NSNN MAU 32'!E28</f>
        <v>650</v>
      </c>
      <c r="F24" s="320">
        <v>0</v>
      </c>
      <c r="G24" s="320">
        <v>0</v>
      </c>
      <c r="H24" s="320">
        <v>0</v>
      </c>
      <c r="I24" s="320">
        <f>'[1]DT THU NSNN MAU 32'!I28</f>
        <v>310</v>
      </c>
      <c r="J24" s="320">
        <f>'[1]DT THU NSNN MAU 32'!J28</f>
        <v>130</v>
      </c>
      <c r="K24" s="320">
        <v>0</v>
      </c>
      <c r="L24" s="320">
        <f>'[1]DT THU NSNN MAU 32'!N28</f>
        <v>50</v>
      </c>
      <c r="M24" s="324">
        <f>'[4]DT CHI NS XA 41'!P10-'[4]DT THU, CHI NSDP VA BSCĐ 39'!C25-N24</f>
        <v>7367.2319891200004</v>
      </c>
      <c r="N24" s="198">
        <f>'[1]DT CHI NS XA 41'!P37+'[1]DT CHI NS XA 41'!P41+'[1]DT CHI NS XA 41'!P36+191.1</f>
        <v>436.4</v>
      </c>
      <c r="O24" s="322">
        <v>0</v>
      </c>
      <c r="P24" s="322">
        <v>0</v>
      </c>
      <c r="Q24" s="323">
        <f t="shared" si="4"/>
        <v>8943.6319891200001</v>
      </c>
    </row>
    <row r="25" spans="1:17" ht="24.95" customHeight="1" x14ac:dyDescent="0.25">
      <c r="A25" s="44">
        <v>15</v>
      </c>
      <c r="B25" s="62" t="s">
        <v>950</v>
      </c>
      <c r="C25" s="320">
        <f t="shared" si="2"/>
        <v>1370</v>
      </c>
      <c r="D25" s="320">
        <f t="shared" si="3"/>
        <v>1370</v>
      </c>
      <c r="E25" s="320">
        <f>'[1]DT THU NSNN MAU 32'!E29</f>
        <v>640</v>
      </c>
      <c r="F25" s="320">
        <v>0</v>
      </c>
      <c r="G25" s="320">
        <v>0</v>
      </c>
      <c r="H25" s="320">
        <v>0</v>
      </c>
      <c r="I25" s="320">
        <f>'[1]DT THU NSNN MAU 32'!I29</f>
        <v>510</v>
      </c>
      <c r="J25" s="320">
        <f>'[1]DT THU NSNN MAU 32'!J29</f>
        <v>140</v>
      </c>
      <c r="K25" s="320">
        <v>0</v>
      </c>
      <c r="L25" s="320">
        <f>'[1]DT THU NSNN MAU 32'!N29</f>
        <v>80</v>
      </c>
      <c r="M25" s="324">
        <f>'[4]DT CHI NS XA 41'!Q10-'[4]DT THU, CHI NSDP VA BSCĐ 39'!C26-N25</f>
        <v>6552.3191919999999</v>
      </c>
      <c r="N25" s="198">
        <f>'[1]DT CHI NS XA 41'!Q37+'[1]DT CHI NS XA 41'!Q41+'[1]DT CHI NS XA 41'!Q36+163.8</f>
        <v>397.8</v>
      </c>
      <c r="O25" s="322">
        <v>0</v>
      </c>
      <c r="P25" s="322">
        <v>0</v>
      </c>
      <c r="Q25" s="323">
        <f t="shared" si="4"/>
        <v>8320.1191920000001</v>
      </c>
    </row>
    <row r="26" spans="1:17" ht="24.95" customHeight="1" x14ac:dyDescent="0.25">
      <c r="A26" s="44">
        <v>16</v>
      </c>
      <c r="B26" s="62" t="s">
        <v>951</v>
      </c>
      <c r="C26" s="320">
        <f t="shared" si="2"/>
        <v>370</v>
      </c>
      <c r="D26" s="320">
        <f t="shared" si="3"/>
        <v>370</v>
      </c>
      <c r="E26" s="320">
        <f>'[1]DT THU NSNN MAU 32'!E30</f>
        <v>60</v>
      </c>
      <c r="F26" s="320">
        <v>0</v>
      </c>
      <c r="G26" s="320">
        <v>0</v>
      </c>
      <c r="H26" s="320">
        <v>0</v>
      </c>
      <c r="I26" s="320">
        <f>'[1]DT THU NSNN MAU 32'!I30</f>
        <v>240</v>
      </c>
      <c r="J26" s="320">
        <f>'[1]DT THU NSNN MAU 32'!J30</f>
        <v>40</v>
      </c>
      <c r="K26" s="320">
        <v>0</v>
      </c>
      <c r="L26" s="320">
        <f>'[1]DT THU NSNN MAU 32'!N30</f>
        <v>30</v>
      </c>
      <c r="M26" s="324">
        <f>'[4]DT CHI NS XA 41'!R10-'[4]DT THU, CHI NSDP VA BSCĐ 39'!C27-N26</f>
        <v>5382.4522480000005</v>
      </c>
      <c r="N26" s="198">
        <f>'[1]DT CHI NS XA 41'!R37+'[1]DT CHI NS XA 41'!R41+'[1]DT CHI NS XA 41'!R36+68.25</f>
        <v>194.65</v>
      </c>
      <c r="O26" s="322">
        <v>0</v>
      </c>
      <c r="P26" s="322">
        <v>0</v>
      </c>
      <c r="Q26" s="323">
        <f t="shared" si="4"/>
        <v>5947.1022480000001</v>
      </c>
    </row>
    <row r="27" spans="1:17" x14ac:dyDescent="0.25">
      <c r="A27" s="27" t="s">
        <v>528</v>
      </c>
      <c r="C27" s="199"/>
      <c r="M27" s="199"/>
      <c r="N27" s="199"/>
      <c r="O27" s="199"/>
      <c r="P27" s="199"/>
      <c r="Q27" s="199"/>
    </row>
    <row r="28" spans="1:17" x14ac:dyDescent="0.25">
      <c r="A28" s="33" t="s">
        <v>601</v>
      </c>
    </row>
    <row r="29" spans="1:17" x14ac:dyDescent="0.25">
      <c r="A29" s="33" t="s">
        <v>484</v>
      </c>
    </row>
    <row r="30" spans="1:17" x14ac:dyDescent="0.25">
      <c r="A30" s="33" t="s">
        <v>485</v>
      </c>
    </row>
    <row r="34" spans="8:8" x14ac:dyDescent="0.25">
      <c r="H34" s="200"/>
    </row>
  </sheetData>
  <mergeCells count="21">
    <mergeCell ref="O1:Q1"/>
    <mergeCell ref="O5:Q5"/>
    <mergeCell ref="E6:L6"/>
    <mergeCell ref="P6:P8"/>
    <mergeCell ref="Q6:Q8"/>
    <mergeCell ref="A2:Q2"/>
    <mergeCell ref="O6:O8"/>
    <mergeCell ref="F7:F8"/>
    <mergeCell ref="G7:G8"/>
    <mergeCell ref="H7:I7"/>
    <mergeCell ref="A6:A8"/>
    <mergeCell ref="B6:B8"/>
    <mergeCell ref="C6:C8"/>
    <mergeCell ref="D6:D8"/>
    <mergeCell ref="A3:Q3"/>
    <mergeCell ref="J7:J8"/>
    <mergeCell ref="K7:K8"/>
    <mergeCell ref="L7:L8"/>
    <mergeCell ref="M6:N7"/>
    <mergeCell ref="E7:E8"/>
    <mergeCell ref="A4:Q4"/>
  </mergeCells>
  <printOptions horizontalCentered="1"/>
  <pageMargins left="0.118110236220472" right="0.118110236220472" top="0.52" bottom="0.56000000000000005" header="0.26" footer="0.24"/>
  <pageSetup paperSize="9" scale="70" orientation="landscape" verticalDpi="0"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F40"/>
  <sheetViews>
    <sheetView workbookViewId="0">
      <selection activeCell="E15" sqref="E15"/>
    </sheetView>
  </sheetViews>
  <sheetFormatPr defaultRowHeight="15" x14ac:dyDescent="0.25"/>
  <cols>
    <col min="1" max="1" width="5.7109375" customWidth="1"/>
    <col min="2" max="2" width="41.5703125" customWidth="1"/>
    <col min="3" max="5" width="12.42578125" customWidth="1"/>
  </cols>
  <sheetData>
    <row r="1" spans="1:6" ht="22.5" customHeight="1" x14ac:dyDescent="0.25">
      <c r="A1" s="422" t="s">
        <v>427</v>
      </c>
      <c r="B1" s="422"/>
      <c r="C1" s="422"/>
      <c r="D1" s="422"/>
      <c r="E1" s="422"/>
    </row>
    <row r="2" spans="1:6" ht="44.25" customHeight="1" x14ac:dyDescent="0.25">
      <c r="A2" s="417" t="s">
        <v>428</v>
      </c>
      <c r="B2" s="417"/>
      <c r="C2" s="417"/>
      <c r="D2" s="417"/>
      <c r="E2" s="417"/>
    </row>
    <row r="3" spans="1:6" ht="20.25" customHeight="1" x14ac:dyDescent="0.25">
      <c r="A3" s="424"/>
      <c r="B3" s="424"/>
      <c r="C3" s="424"/>
      <c r="D3" s="424"/>
      <c r="E3" s="424"/>
      <c r="F3" s="133"/>
    </row>
    <row r="4" spans="1:6" x14ac:dyDescent="0.25">
      <c r="B4" s="1"/>
      <c r="C4" s="1"/>
      <c r="D4" s="424" t="s">
        <v>56</v>
      </c>
      <c r="E4" s="424"/>
    </row>
    <row r="5" spans="1:6" ht="39" customHeight="1" x14ac:dyDescent="0.25">
      <c r="A5" s="2" t="s">
        <v>3</v>
      </c>
      <c r="B5" s="2" t="s">
        <v>4</v>
      </c>
      <c r="C5" s="2" t="s">
        <v>455</v>
      </c>
      <c r="D5" s="2" t="s">
        <v>456</v>
      </c>
      <c r="E5" s="2" t="s">
        <v>229</v>
      </c>
    </row>
    <row r="6" spans="1:6" x14ac:dyDescent="0.25">
      <c r="A6" s="2" t="s">
        <v>15</v>
      </c>
      <c r="B6" s="2" t="s">
        <v>16</v>
      </c>
      <c r="C6" s="2">
        <v>1</v>
      </c>
      <c r="D6" s="2">
        <v>2</v>
      </c>
      <c r="E6" s="2" t="s">
        <v>358</v>
      </c>
    </row>
    <row r="7" spans="1:6" x14ac:dyDescent="0.25">
      <c r="A7" s="2" t="s">
        <v>15</v>
      </c>
      <c r="B7" s="14" t="s">
        <v>429</v>
      </c>
      <c r="C7" s="4"/>
      <c r="D7" s="4"/>
      <c r="E7" s="4"/>
    </row>
    <row r="8" spans="1:6" x14ac:dyDescent="0.25">
      <c r="A8" s="2" t="s">
        <v>16</v>
      </c>
      <c r="B8" s="14" t="s">
        <v>390</v>
      </c>
      <c r="C8" s="4"/>
      <c r="D8" s="4"/>
      <c r="E8" s="4"/>
    </row>
    <row r="9" spans="1:6" x14ac:dyDescent="0.25">
      <c r="A9" s="2" t="s">
        <v>79</v>
      </c>
      <c r="B9" s="14" t="s">
        <v>430</v>
      </c>
      <c r="C9" s="4"/>
      <c r="D9" s="4"/>
      <c r="E9" s="4"/>
    </row>
    <row r="10" spans="1:6" ht="28.5" x14ac:dyDescent="0.25">
      <c r="A10" s="2" t="s">
        <v>89</v>
      </c>
      <c r="B10" s="14" t="s">
        <v>431</v>
      </c>
      <c r="C10" s="4"/>
      <c r="D10" s="4"/>
      <c r="E10" s="4"/>
    </row>
    <row r="11" spans="1:6" x14ac:dyDescent="0.25">
      <c r="A11" s="2" t="s">
        <v>99</v>
      </c>
      <c r="B11" s="14" t="s">
        <v>432</v>
      </c>
      <c r="C11" s="4"/>
      <c r="D11" s="4"/>
      <c r="E11" s="4"/>
    </row>
    <row r="12" spans="1:6" x14ac:dyDescent="0.25">
      <c r="A12" s="2" t="s">
        <v>83</v>
      </c>
      <c r="B12" s="14" t="s">
        <v>433</v>
      </c>
      <c r="C12" s="4"/>
      <c r="D12" s="4"/>
      <c r="E12" s="4"/>
    </row>
    <row r="13" spans="1:6" ht="30" x14ac:dyDescent="0.25">
      <c r="A13" s="3"/>
      <c r="B13" s="5" t="s">
        <v>434</v>
      </c>
      <c r="C13" s="4"/>
      <c r="D13" s="4"/>
      <c r="E13" s="4"/>
    </row>
    <row r="14" spans="1:6" x14ac:dyDescent="0.25">
      <c r="A14" s="3">
        <v>1</v>
      </c>
      <c r="B14" s="4" t="s">
        <v>435</v>
      </c>
      <c r="C14" s="4"/>
      <c r="D14" s="4"/>
      <c r="E14" s="4"/>
    </row>
    <row r="15" spans="1:6" x14ac:dyDescent="0.25">
      <c r="A15" s="3">
        <v>2</v>
      </c>
      <c r="B15" s="4" t="s">
        <v>436</v>
      </c>
      <c r="C15" s="4"/>
      <c r="D15" s="4"/>
      <c r="E15" s="4"/>
    </row>
    <row r="16" spans="1:6" x14ac:dyDescent="0.25">
      <c r="A16" s="3">
        <v>3</v>
      </c>
      <c r="B16" s="4" t="s">
        <v>437</v>
      </c>
      <c r="C16" s="4"/>
      <c r="D16" s="4"/>
      <c r="E16" s="4"/>
    </row>
    <row r="17" spans="1:5" x14ac:dyDescent="0.25">
      <c r="A17" s="2" t="s">
        <v>70</v>
      </c>
      <c r="B17" s="14" t="s">
        <v>438</v>
      </c>
      <c r="C17" s="4"/>
      <c r="D17" s="4"/>
      <c r="E17" s="4"/>
    </row>
    <row r="18" spans="1:5" x14ac:dyDescent="0.25">
      <c r="A18" s="2">
        <v>1</v>
      </c>
      <c r="B18" s="14" t="s">
        <v>439</v>
      </c>
      <c r="C18" s="4"/>
      <c r="D18" s="4"/>
      <c r="E18" s="4"/>
    </row>
    <row r="19" spans="1:5" x14ac:dyDescent="0.25">
      <c r="A19" s="3" t="s">
        <v>22</v>
      </c>
      <c r="B19" s="4" t="s">
        <v>435</v>
      </c>
      <c r="C19" s="4"/>
      <c r="D19" s="4"/>
      <c r="E19" s="4"/>
    </row>
    <row r="20" spans="1:5" x14ac:dyDescent="0.25">
      <c r="A20" s="3" t="s">
        <v>22</v>
      </c>
      <c r="B20" s="4" t="s">
        <v>454</v>
      </c>
      <c r="C20" s="4"/>
      <c r="D20" s="4"/>
      <c r="E20" s="4"/>
    </row>
    <row r="21" spans="1:5" x14ac:dyDescent="0.25">
      <c r="A21" s="3" t="s">
        <v>22</v>
      </c>
      <c r="B21" s="4" t="s">
        <v>440</v>
      </c>
      <c r="C21" s="4"/>
      <c r="D21" s="4"/>
      <c r="E21" s="4"/>
    </row>
    <row r="22" spans="1:5" x14ac:dyDescent="0.25">
      <c r="A22" s="2">
        <v>2</v>
      </c>
      <c r="B22" s="14" t="s">
        <v>441</v>
      </c>
      <c r="C22" s="4"/>
      <c r="D22" s="4"/>
      <c r="E22" s="4"/>
    </row>
    <row r="23" spans="1:5" x14ac:dyDescent="0.25">
      <c r="A23" s="3" t="s">
        <v>22</v>
      </c>
      <c r="B23" s="4" t="s">
        <v>442</v>
      </c>
      <c r="C23" s="4"/>
      <c r="D23" s="4"/>
      <c r="E23" s="4"/>
    </row>
    <row r="24" spans="1:5" x14ac:dyDescent="0.25">
      <c r="A24" s="3" t="s">
        <v>22</v>
      </c>
      <c r="B24" s="4" t="s">
        <v>443</v>
      </c>
      <c r="C24" s="4"/>
      <c r="D24" s="4"/>
      <c r="E24" s="4"/>
    </row>
    <row r="25" spans="1:5" x14ac:dyDescent="0.25">
      <c r="A25" s="3" t="s">
        <v>22</v>
      </c>
      <c r="B25" s="4" t="s">
        <v>444</v>
      </c>
      <c r="C25" s="4"/>
      <c r="D25" s="4"/>
      <c r="E25" s="4"/>
    </row>
    <row r="26" spans="1:5" x14ac:dyDescent="0.25">
      <c r="A26" s="3" t="s">
        <v>22</v>
      </c>
      <c r="B26" s="4" t="s">
        <v>445</v>
      </c>
      <c r="C26" s="4"/>
      <c r="D26" s="4"/>
      <c r="E26" s="4"/>
    </row>
    <row r="27" spans="1:5" x14ac:dyDescent="0.25">
      <c r="A27" s="2" t="s">
        <v>73</v>
      </c>
      <c r="B27" s="14" t="s">
        <v>446</v>
      </c>
      <c r="C27" s="4"/>
      <c r="D27" s="4"/>
      <c r="E27" s="4"/>
    </row>
    <row r="28" spans="1:5" x14ac:dyDescent="0.25">
      <c r="A28" s="2">
        <v>1</v>
      </c>
      <c r="B28" s="14" t="s">
        <v>447</v>
      </c>
      <c r="C28" s="4"/>
      <c r="D28" s="4"/>
      <c r="E28" s="4"/>
    </row>
    <row r="29" spans="1:5" x14ac:dyDescent="0.25">
      <c r="A29" s="3" t="s">
        <v>22</v>
      </c>
      <c r="B29" s="4" t="s">
        <v>111</v>
      </c>
      <c r="C29" s="4"/>
      <c r="D29" s="4"/>
      <c r="E29" s="4"/>
    </row>
    <row r="30" spans="1:5" x14ac:dyDescent="0.25">
      <c r="A30" s="3" t="s">
        <v>22</v>
      </c>
      <c r="B30" s="4" t="s">
        <v>112</v>
      </c>
      <c r="C30" s="4"/>
      <c r="D30" s="4"/>
      <c r="E30" s="4"/>
    </row>
    <row r="31" spans="1:5" x14ac:dyDescent="0.25">
      <c r="A31" s="2">
        <v>2</v>
      </c>
      <c r="B31" s="14" t="s">
        <v>448</v>
      </c>
      <c r="C31" s="4"/>
      <c r="D31" s="4"/>
      <c r="E31" s="4"/>
    </row>
    <row r="32" spans="1:5" x14ac:dyDescent="0.25">
      <c r="A32" s="3" t="s">
        <v>22</v>
      </c>
      <c r="B32" s="4" t="s">
        <v>435</v>
      </c>
      <c r="C32" s="4"/>
      <c r="D32" s="4"/>
      <c r="E32" s="4"/>
    </row>
    <row r="33" spans="1:5" x14ac:dyDescent="0.25">
      <c r="A33" s="3" t="s">
        <v>22</v>
      </c>
      <c r="B33" s="4" t="s">
        <v>436</v>
      </c>
      <c r="C33" s="4"/>
      <c r="D33" s="4"/>
      <c r="E33" s="4"/>
    </row>
    <row r="34" spans="1:5" x14ac:dyDescent="0.25">
      <c r="A34" s="3" t="s">
        <v>22</v>
      </c>
      <c r="B34" s="4" t="s">
        <v>449</v>
      </c>
      <c r="C34" s="4"/>
      <c r="D34" s="4"/>
      <c r="E34" s="4"/>
    </row>
    <row r="35" spans="1:5" x14ac:dyDescent="0.25">
      <c r="A35" s="2" t="s">
        <v>77</v>
      </c>
      <c r="B35" s="14" t="s">
        <v>450</v>
      </c>
      <c r="C35" s="4"/>
      <c r="D35" s="4"/>
      <c r="E35" s="4"/>
    </row>
    <row r="36" spans="1:5" ht="30" x14ac:dyDescent="0.25">
      <c r="A36" s="3"/>
      <c r="B36" s="5" t="s">
        <v>451</v>
      </c>
      <c r="C36" s="4"/>
      <c r="D36" s="4"/>
      <c r="E36" s="4"/>
    </row>
    <row r="37" spans="1:5" x14ac:dyDescent="0.25">
      <c r="A37" s="3">
        <v>1</v>
      </c>
      <c r="B37" s="4" t="s">
        <v>435</v>
      </c>
      <c r="C37" s="4"/>
      <c r="D37" s="4"/>
      <c r="E37" s="4"/>
    </row>
    <row r="38" spans="1:5" x14ac:dyDescent="0.25">
      <c r="A38" s="3">
        <v>2</v>
      </c>
      <c r="B38" s="4" t="s">
        <v>436</v>
      </c>
      <c r="C38" s="4"/>
      <c r="D38" s="4"/>
      <c r="E38" s="4"/>
    </row>
    <row r="39" spans="1:5" x14ac:dyDescent="0.25">
      <c r="A39" s="3">
        <v>3</v>
      </c>
      <c r="B39" s="4" t="s">
        <v>452</v>
      </c>
      <c r="C39" s="4"/>
      <c r="D39" s="4"/>
      <c r="E39" s="4"/>
    </row>
    <row r="40" spans="1:5" x14ac:dyDescent="0.25">
      <c r="A40" s="2" t="s">
        <v>101</v>
      </c>
      <c r="B40" s="14" t="s">
        <v>453</v>
      </c>
      <c r="C40" s="4"/>
      <c r="D40" s="4"/>
      <c r="E40" s="4"/>
    </row>
  </sheetData>
  <mergeCells count="4">
    <mergeCell ref="A1:E1"/>
    <mergeCell ref="A2:E2"/>
    <mergeCell ref="A3:E3"/>
    <mergeCell ref="D4:E4"/>
  </mergeCells>
  <pageMargins left="0.7" right="0.7" top="0.75" bottom="0.75" header="0.3" footer="0.3"/>
  <pageSetup paperSize="9" orientation="portrait" verticalDpi="0"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FF0000"/>
  </sheetPr>
  <dimension ref="A1:F21"/>
  <sheetViews>
    <sheetView workbookViewId="0">
      <selection activeCell="O8" sqref="O8"/>
    </sheetView>
  </sheetViews>
  <sheetFormatPr defaultRowHeight="15" x14ac:dyDescent="0.25"/>
  <cols>
    <col min="1" max="1" width="6.5703125" customWidth="1"/>
    <col min="2" max="2" width="36.5703125" customWidth="1"/>
    <col min="3" max="6" width="10.42578125" customWidth="1"/>
  </cols>
  <sheetData>
    <row r="1" spans="1:6" ht="15.75" x14ac:dyDescent="0.25">
      <c r="F1" s="25" t="s">
        <v>626</v>
      </c>
    </row>
    <row r="2" spans="1:6" ht="39.75" customHeight="1" x14ac:dyDescent="0.25">
      <c r="A2" s="448" t="s">
        <v>658</v>
      </c>
      <c r="B2" s="448"/>
      <c r="C2" s="448"/>
      <c r="D2" s="448"/>
      <c r="E2" s="448"/>
      <c r="F2" s="448"/>
    </row>
    <row r="3" spans="1:6" ht="15.75" x14ac:dyDescent="0.25">
      <c r="A3" s="414" t="s">
        <v>659</v>
      </c>
      <c r="B3" s="414"/>
      <c r="C3" s="414"/>
      <c r="D3" s="414"/>
      <c r="E3" s="414"/>
      <c r="F3" s="414"/>
    </row>
    <row r="4" spans="1:6" ht="15.75" x14ac:dyDescent="0.25">
      <c r="F4" s="26" t="s">
        <v>660</v>
      </c>
    </row>
    <row r="5" spans="1:6" ht="15.75" x14ac:dyDescent="0.25">
      <c r="A5" s="449" t="s">
        <v>3</v>
      </c>
      <c r="B5" s="449" t="s">
        <v>161</v>
      </c>
      <c r="C5" s="449" t="s">
        <v>661</v>
      </c>
      <c r="D5" s="449"/>
      <c r="E5" s="449"/>
      <c r="F5" s="449"/>
    </row>
    <row r="6" spans="1:6" ht="78" customHeight="1" x14ac:dyDescent="0.25">
      <c r="A6" s="449"/>
      <c r="B6" s="449"/>
      <c r="C6" s="29" t="s">
        <v>662</v>
      </c>
      <c r="D6" s="29" t="s">
        <v>663</v>
      </c>
      <c r="E6" s="29" t="s">
        <v>534</v>
      </c>
      <c r="F6" s="29" t="s">
        <v>173</v>
      </c>
    </row>
    <row r="7" spans="1:6" ht="15.75" x14ac:dyDescent="0.25">
      <c r="A7" s="29" t="s">
        <v>15</v>
      </c>
      <c r="B7" s="29" t="s">
        <v>16</v>
      </c>
      <c r="C7" s="29">
        <v>1</v>
      </c>
      <c r="D7" s="29">
        <v>2</v>
      </c>
      <c r="E7" s="29">
        <v>3</v>
      </c>
      <c r="F7" s="29">
        <v>4</v>
      </c>
    </row>
    <row r="8" spans="1:6" ht="15.75" x14ac:dyDescent="0.25">
      <c r="A8" s="28">
        <v>1</v>
      </c>
      <c r="B8" s="31" t="s">
        <v>169</v>
      </c>
      <c r="C8" s="28"/>
      <c r="D8" s="28"/>
      <c r="E8" s="28"/>
      <c r="F8" s="28"/>
    </row>
    <row r="9" spans="1:6" ht="15.75" x14ac:dyDescent="0.25">
      <c r="A9" s="28">
        <v>2</v>
      </c>
      <c r="B9" s="31" t="s">
        <v>170</v>
      </c>
      <c r="C9" s="28"/>
      <c r="D9" s="28"/>
      <c r="E9" s="28"/>
      <c r="F9" s="28"/>
    </row>
    <row r="10" spans="1:6" ht="15.75" x14ac:dyDescent="0.25">
      <c r="A10" s="28">
        <v>3</v>
      </c>
      <c r="B10" s="31" t="s">
        <v>555</v>
      </c>
      <c r="C10" s="28"/>
      <c r="D10" s="28"/>
      <c r="E10" s="28"/>
      <c r="F10" s="28"/>
    </row>
    <row r="11" spans="1:6" ht="15.75" x14ac:dyDescent="0.25">
      <c r="A11" s="28">
        <v>4</v>
      </c>
      <c r="B11" s="31" t="s">
        <v>172</v>
      </c>
      <c r="C11" s="28"/>
      <c r="D11" s="28"/>
      <c r="E11" s="28"/>
      <c r="F11" s="28"/>
    </row>
    <row r="12" spans="1:6" ht="15.75" x14ac:dyDescent="0.25">
      <c r="A12" s="28">
        <v>5</v>
      </c>
      <c r="B12" s="31" t="s">
        <v>522</v>
      </c>
      <c r="C12" s="28"/>
      <c r="D12" s="28"/>
      <c r="E12" s="28"/>
      <c r="F12" s="28"/>
    </row>
    <row r="13" spans="1:6" ht="15.75" x14ac:dyDescent="0.25">
      <c r="A13" s="28">
        <v>6</v>
      </c>
      <c r="B13" s="31" t="s">
        <v>174</v>
      </c>
      <c r="C13" s="28"/>
      <c r="D13" s="28"/>
      <c r="E13" s="28"/>
      <c r="F13" s="28"/>
    </row>
    <row r="14" spans="1:6" ht="15.75" x14ac:dyDescent="0.25">
      <c r="A14" s="28">
        <v>7</v>
      </c>
      <c r="B14" s="31" t="s">
        <v>175</v>
      </c>
      <c r="C14" s="28"/>
      <c r="D14" s="28"/>
      <c r="E14" s="28"/>
      <c r="F14" s="28"/>
    </row>
    <row r="15" spans="1:6" ht="15.75" x14ac:dyDescent="0.25">
      <c r="A15" s="28">
        <v>8</v>
      </c>
      <c r="B15" s="31" t="s">
        <v>557</v>
      </c>
      <c r="C15" s="28"/>
      <c r="D15" s="28"/>
      <c r="E15" s="28"/>
      <c r="F15" s="28"/>
    </row>
    <row r="16" spans="1:6" ht="15.75" x14ac:dyDescent="0.25">
      <c r="A16" s="28">
        <v>9</v>
      </c>
      <c r="B16" s="31" t="s">
        <v>51</v>
      </c>
      <c r="C16" s="28"/>
      <c r="D16" s="28"/>
      <c r="E16" s="28"/>
      <c r="F16" s="28"/>
    </row>
    <row r="17" spans="1:6" ht="15.75" x14ac:dyDescent="0.25">
      <c r="A17" s="28">
        <v>10</v>
      </c>
      <c r="B17" s="31"/>
      <c r="C17" s="28"/>
      <c r="D17" s="28"/>
      <c r="E17" s="28"/>
      <c r="F17" s="28"/>
    </row>
    <row r="18" spans="1:6" ht="15.75" x14ac:dyDescent="0.25">
      <c r="A18" s="28">
        <v>11</v>
      </c>
      <c r="B18" s="31"/>
      <c r="C18" s="28"/>
      <c r="D18" s="28"/>
      <c r="E18" s="28"/>
      <c r="F18" s="28"/>
    </row>
    <row r="19" spans="1:6" ht="15.75" x14ac:dyDescent="0.25">
      <c r="A19" s="28">
        <v>12</v>
      </c>
      <c r="B19" s="31"/>
      <c r="C19" s="28"/>
      <c r="D19" s="28"/>
      <c r="E19" s="28"/>
      <c r="F19" s="28"/>
    </row>
    <row r="20" spans="1:6" ht="15.75" x14ac:dyDescent="0.25">
      <c r="A20" s="28">
        <v>13</v>
      </c>
      <c r="B20" s="31"/>
      <c r="C20" s="28"/>
      <c r="D20" s="28"/>
      <c r="E20" s="28"/>
      <c r="F20" s="28"/>
    </row>
    <row r="21" spans="1:6" ht="15.75" x14ac:dyDescent="0.25">
      <c r="A21" s="28">
        <v>14</v>
      </c>
      <c r="B21" s="31"/>
      <c r="C21" s="28"/>
      <c r="D21" s="28"/>
      <c r="E21" s="28"/>
      <c r="F21" s="28"/>
    </row>
  </sheetData>
  <mergeCells count="5">
    <mergeCell ref="A5:A6"/>
    <mergeCell ref="B5:B6"/>
    <mergeCell ref="C5:F5"/>
    <mergeCell ref="A2:F2"/>
    <mergeCell ref="A3:F3"/>
  </mergeCells>
  <pageMargins left="0.7" right="0.7" top="0.75" bottom="0.75" header="0.3" footer="0.3"/>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sheetPr>
  <dimension ref="A1:T71"/>
  <sheetViews>
    <sheetView zoomScale="120" zoomScaleNormal="120" workbookViewId="0">
      <selection activeCell="A2" sqref="A2:R2"/>
    </sheetView>
  </sheetViews>
  <sheetFormatPr defaultColWidth="9.140625" defaultRowHeight="15.75" x14ac:dyDescent="0.25"/>
  <cols>
    <col min="1" max="1" width="5.28515625" style="170" customWidth="1"/>
    <col min="2" max="2" width="60.140625" style="166" customWidth="1"/>
    <col min="3" max="5" width="9.85546875" style="166" bestFit="1" customWidth="1"/>
    <col min="6" max="8" width="9.28515625" style="166" bestFit="1" customWidth="1"/>
    <col min="9" max="10" width="9.85546875" style="166" bestFit="1" customWidth="1"/>
    <col min="11" max="11" width="9.28515625" style="166" bestFit="1" customWidth="1"/>
    <col min="12" max="12" width="9.85546875" style="166" bestFit="1" customWidth="1"/>
    <col min="13" max="13" width="9.28515625" style="166" bestFit="1" customWidth="1"/>
    <col min="14" max="15" width="9.85546875" style="166" bestFit="1" customWidth="1"/>
    <col min="16" max="16" width="9.28515625" style="166" bestFit="1" customWidth="1"/>
    <col min="17" max="17" width="9.5703125" style="166" customWidth="1"/>
    <col min="18" max="18" width="9.85546875" style="166" bestFit="1" customWidth="1"/>
    <col min="19" max="16384" width="9.140625" style="166"/>
  </cols>
  <sheetData>
    <row r="1" spans="1:20" x14ac:dyDescent="0.25">
      <c r="P1" s="475" t="s">
        <v>1250</v>
      </c>
      <c r="Q1" s="475"/>
      <c r="R1" s="475"/>
    </row>
    <row r="2" spans="1:20" x14ac:dyDescent="0.25">
      <c r="A2" s="533" t="s">
        <v>1343</v>
      </c>
      <c r="B2" s="533"/>
      <c r="C2" s="533"/>
      <c r="D2" s="533"/>
      <c r="E2" s="533"/>
      <c r="F2" s="533"/>
      <c r="G2" s="533"/>
      <c r="H2" s="533"/>
      <c r="I2" s="533"/>
      <c r="J2" s="533"/>
      <c r="K2" s="533"/>
      <c r="L2" s="533"/>
      <c r="M2" s="533"/>
      <c r="N2" s="533"/>
      <c r="O2" s="533"/>
      <c r="P2" s="533"/>
      <c r="Q2" s="533"/>
      <c r="R2" s="533"/>
    </row>
    <row r="3" spans="1:20" ht="20.25" customHeight="1" x14ac:dyDescent="0.25">
      <c r="A3" s="417" t="str">
        <f>'PL 01'!A3:C3</f>
        <v>(Dự toán trình Hội đồng nhân dân huyện)</v>
      </c>
      <c r="B3" s="417"/>
      <c r="C3" s="417"/>
      <c r="D3" s="417"/>
      <c r="E3" s="417"/>
      <c r="F3" s="417"/>
      <c r="G3" s="417"/>
      <c r="H3" s="417"/>
      <c r="I3" s="417"/>
      <c r="J3" s="417"/>
      <c r="K3" s="417"/>
      <c r="L3" s="417"/>
      <c r="M3" s="417"/>
      <c r="N3" s="417"/>
      <c r="O3" s="417"/>
      <c r="P3" s="417"/>
      <c r="Q3" s="417"/>
      <c r="R3" s="417"/>
    </row>
    <row r="4" spans="1:20" ht="18.75" x14ac:dyDescent="0.25">
      <c r="A4" s="463" t="str">
        <f>'PL 01'!A4:C4</f>
        <v>(Kèm theo Báo cáo số: 431/BC-UBND ngày 29 tháng 12 năm 2023 của UBND huyện Phụng Hiệp)</v>
      </c>
      <c r="B4" s="463"/>
      <c r="C4" s="463"/>
      <c r="D4" s="463"/>
      <c r="E4" s="463"/>
      <c r="F4" s="463"/>
      <c r="G4" s="463"/>
      <c r="H4" s="463"/>
      <c r="I4" s="463"/>
      <c r="J4" s="463"/>
      <c r="K4" s="463"/>
      <c r="L4" s="463"/>
      <c r="M4" s="463"/>
      <c r="N4" s="463"/>
      <c r="O4" s="463"/>
      <c r="P4" s="463"/>
      <c r="Q4" s="463"/>
      <c r="R4" s="463"/>
    </row>
    <row r="5" spans="1:20" ht="14.25" customHeight="1" x14ac:dyDescent="0.25">
      <c r="A5" s="171"/>
      <c r="B5" s="172"/>
      <c r="C5" s="173"/>
      <c r="D5" s="174"/>
      <c r="E5" s="173"/>
      <c r="F5" s="173"/>
      <c r="G5" s="173"/>
      <c r="H5" s="174"/>
      <c r="I5" s="174"/>
      <c r="J5" s="174"/>
      <c r="K5" s="174"/>
      <c r="L5" s="174"/>
      <c r="M5" s="174"/>
      <c r="N5" s="174"/>
      <c r="O5" s="174"/>
      <c r="P5" s="535" t="s">
        <v>1109</v>
      </c>
      <c r="Q5" s="535"/>
      <c r="R5" s="535"/>
      <c r="S5" s="264"/>
      <c r="T5" s="264"/>
    </row>
    <row r="6" spans="1:20" ht="21.95" customHeight="1" x14ac:dyDescent="0.25">
      <c r="A6" s="536" t="s">
        <v>1080</v>
      </c>
      <c r="B6" s="536" t="s">
        <v>1081</v>
      </c>
      <c r="C6" s="536" t="s">
        <v>1082</v>
      </c>
      <c r="D6" s="481" t="s">
        <v>1258</v>
      </c>
      <c r="E6" s="481" t="s">
        <v>1259</v>
      </c>
      <c r="F6" s="481" t="s">
        <v>1260</v>
      </c>
      <c r="G6" s="481" t="s">
        <v>1261</v>
      </c>
      <c r="H6" s="481" t="s">
        <v>1262</v>
      </c>
      <c r="I6" s="481" t="s">
        <v>1263</v>
      </c>
      <c r="J6" s="481" t="s">
        <v>1264</v>
      </c>
      <c r="K6" s="481" t="s">
        <v>1265</v>
      </c>
      <c r="L6" s="481" t="s">
        <v>1266</v>
      </c>
      <c r="M6" s="481" t="s">
        <v>1267</v>
      </c>
      <c r="N6" s="481" t="s">
        <v>1268</v>
      </c>
      <c r="O6" s="481" t="s">
        <v>1269</v>
      </c>
      <c r="P6" s="481" t="s">
        <v>1270</v>
      </c>
      <c r="Q6" s="481" t="s">
        <v>1271</v>
      </c>
      <c r="R6" s="481" t="s">
        <v>1272</v>
      </c>
    </row>
    <row r="7" spans="1:20" ht="21.95" customHeight="1" x14ac:dyDescent="0.25">
      <c r="A7" s="537"/>
      <c r="B7" s="538"/>
      <c r="C7" s="537"/>
      <c r="D7" s="534"/>
      <c r="E7" s="534"/>
      <c r="F7" s="534"/>
      <c r="G7" s="534"/>
      <c r="H7" s="534"/>
      <c r="I7" s="534"/>
      <c r="J7" s="534"/>
      <c r="K7" s="534"/>
      <c r="L7" s="534"/>
      <c r="M7" s="534"/>
      <c r="N7" s="534"/>
      <c r="O7" s="534"/>
      <c r="P7" s="534"/>
      <c r="Q7" s="534"/>
      <c r="R7" s="534"/>
    </row>
    <row r="8" spans="1:20" x14ac:dyDescent="0.25">
      <c r="A8" s="305"/>
      <c r="B8" s="305" t="s">
        <v>1217</v>
      </c>
      <c r="C8" s="306">
        <f>SUM(D8:R8)</f>
        <v>128</v>
      </c>
      <c r="D8" s="306">
        <v>6</v>
      </c>
      <c r="E8" s="306">
        <v>6</v>
      </c>
      <c r="F8" s="306">
        <v>11</v>
      </c>
      <c r="G8" s="306">
        <v>10</v>
      </c>
      <c r="H8" s="306">
        <v>10</v>
      </c>
      <c r="I8" s="306">
        <v>8</v>
      </c>
      <c r="J8" s="306">
        <v>6</v>
      </c>
      <c r="K8" s="306">
        <v>13</v>
      </c>
      <c r="L8" s="306">
        <v>4</v>
      </c>
      <c r="M8" s="306">
        <v>9</v>
      </c>
      <c r="N8" s="306">
        <v>6</v>
      </c>
      <c r="O8" s="306">
        <v>8</v>
      </c>
      <c r="P8" s="306">
        <v>14</v>
      </c>
      <c r="Q8" s="306">
        <v>12</v>
      </c>
      <c r="R8" s="306">
        <v>5</v>
      </c>
    </row>
    <row r="9" spans="1:20" x14ac:dyDescent="0.25">
      <c r="A9" s="305"/>
      <c r="B9" s="305" t="s">
        <v>1036</v>
      </c>
      <c r="C9" s="307">
        <f>SUM(D9:R9)</f>
        <v>107271.00194735998</v>
      </c>
      <c r="D9" s="307">
        <f t="shared" ref="D9:R9" si="0">D10+D43</f>
        <v>6295.0288176000004</v>
      </c>
      <c r="E9" s="307">
        <f t="shared" si="0"/>
        <v>6076.8665867999998</v>
      </c>
      <c r="F9" s="307">
        <f t="shared" si="0"/>
        <v>8051.1517954799992</v>
      </c>
      <c r="G9" s="307">
        <f t="shared" si="0"/>
        <v>8127.0516743999988</v>
      </c>
      <c r="H9" s="307">
        <f t="shared" si="0"/>
        <v>7457.2696454400002</v>
      </c>
      <c r="I9" s="307">
        <f t="shared" si="0"/>
        <v>6981.3339775200011</v>
      </c>
      <c r="J9" s="307">
        <f t="shared" si="0"/>
        <v>6542.759204160001</v>
      </c>
      <c r="K9" s="307">
        <f t="shared" si="0"/>
        <v>8758.2603959999997</v>
      </c>
      <c r="L9" s="307">
        <f t="shared" si="0"/>
        <v>5417.4532719599993</v>
      </c>
      <c r="M9" s="307">
        <f t="shared" si="0"/>
        <v>6966.6294167999986</v>
      </c>
      <c r="N9" s="307">
        <f t="shared" si="0"/>
        <v>6198.3729239999993</v>
      </c>
      <c r="O9" s="307">
        <f t="shared" si="0"/>
        <v>7187.9708080800001</v>
      </c>
      <c r="P9" s="307">
        <f t="shared" si="0"/>
        <v>8943.6319891200001</v>
      </c>
      <c r="Q9" s="307">
        <f t="shared" si="0"/>
        <v>8320.1191920000001</v>
      </c>
      <c r="R9" s="307">
        <f t="shared" si="0"/>
        <v>5947.1022480000001</v>
      </c>
      <c r="S9" s="175"/>
    </row>
    <row r="10" spans="1:20" x14ac:dyDescent="0.25">
      <c r="A10" s="305" t="s">
        <v>15</v>
      </c>
      <c r="B10" s="308" t="s">
        <v>1214</v>
      </c>
      <c r="C10" s="307">
        <f>C11+C25+C29+C42</f>
        <v>105167.64896799999</v>
      </c>
      <c r="D10" s="307">
        <f t="shared" ref="D10:R10" si="1">D11+D25+D29+D42</f>
        <v>6171.5968800000001</v>
      </c>
      <c r="E10" s="307">
        <f t="shared" si="1"/>
        <v>5957.71234</v>
      </c>
      <c r="F10" s="307">
        <f t="shared" si="1"/>
        <v>7893.2860739999996</v>
      </c>
      <c r="G10" s="307">
        <f t="shared" si="1"/>
        <v>7967.6977199999992</v>
      </c>
      <c r="H10" s="307">
        <f t="shared" si="1"/>
        <v>7311.0486719999999</v>
      </c>
      <c r="I10" s="307">
        <f t="shared" si="1"/>
        <v>6844.4450760000009</v>
      </c>
      <c r="J10" s="307">
        <f t="shared" si="1"/>
        <v>6414.4698080000007</v>
      </c>
      <c r="K10" s="307">
        <f t="shared" si="1"/>
        <v>8586.5298000000003</v>
      </c>
      <c r="L10" s="307">
        <f t="shared" si="1"/>
        <v>5311.228697999999</v>
      </c>
      <c r="M10" s="307">
        <f t="shared" si="1"/>
        <v>6830.028839999999</v>
      </c>
      <c r="N10" s="307">
        <f t="shared" si="1"/>
        <v>6076.8361999999997</v>
      </c>
      <c r="O10" s="307">
        <f t="shared" si="1"/>
        <v>7047.0302039999997</v>
      </c>
      <c r="P10" s="307">
        <f t="shared" si="1"/>
        <v>8768.2666559999998</v>
      </c>
      <c r="Q10" s="307">
        <f t="shared" si="1"/>
        <v>8156.9796000000006</v>
      </c>
      <c r="R10" s="307">
        <f t="shared" si="1"/>
        <v>5830.4924000000001</v>
      </c>
      <c r="S10" s="175"/>
    </row>
    <row r="11" spans="1:20" x14ac:dyDescent="0.25">
      <c r="A11" s="305" t="s">
        <v>83</v>
      </c>
      <c r="B11" s="308" t="s">
        <v>1215</v>
      </c>
      <c r="C11" s="309">
        <f>SUM(C12:C24)</f>
        <v>69463.048967999988</v>
      </c>
      <c r="D11" s="309">
        <f>SUM(D12:D24)</f>
        <v>4070.3968799999998</v>
      </c>
      <c r="E11" s="309">
        <f t="shared" ref="E11:R11" si="2">SUM(E12:E24)</f>
        <v>3843.8123400000004</v>
      </c>
      <c r="F11" s="309">
        <f t="shared" si="2"/>
        <v>5185.636074</v>
      </c>
      <c r="G11" s="309">
        <f t="shared" si="2"/>
        <v>5398.4977199999994</v>
      </c>
      <c r="H11" s="309">
        <f t="shared" si="2"/>
        <v>4766.4486719999995</v>
      </c>
      <c r="I11" s="309">
        <f t="shared" si="2"/>
        <v>4487.9450760000009</v>
      </c>
      <c r="J11" s="309">
        <f t="shared" si="2"/>
        <v>4412.3698080000004</v>
      </c>
      <c r="K11" s="309">
        <f t="shared" si="2"/>
        <v>5609.1797999999999</v>
      </c>
      <c r="L11" s="309">
        <f t="shared" si="2"/>
        <v>3537.3286979999998</v>
      </c>
      <c r="M11" s="309">
        <f t="shared" si="2"/>
        <v>4492.8788399999994</v>
      </c>
      <c r="N11" s="309">
        <f t="shared" si="2"/>
        <v>4075.9361999999996</v>
      </c>
      <c r="O11" s="309">
        <f t="shared" si="2"/>
        <v>4661.130204</v>
      </c>
      <c r="P11" s="309">
        <f t="shared" si="2"/>
        <v>5623.0666560000009</v>
      </c>
      <c r="Q11" s="309">
        <f t="shared" si="2"/>
        <v>5312.3796000000002</v>
      </c>
      <c r="R11" s="309">
        <f t="shared" si="2"/>
        <v>3986.0423999999998</v>
      </c>
      <c r="S11" s="175"/>
      <c r="T11" s="175"/>
    </row>
    <row r="12" spans="1:20" x14ac:dyDescent="0.25">
      <c r="A12" s="310" t="s">
        <v>981</v>
      </c>
      <c r="B12" s="311" t="s">
        <v>1251</v>
      </c>
      <c r="C12" s="194">
        <f>SUM(D12:R12)</f>
        <v>22373.81568</v>
      </c>
      <c r="D12" s="194">
        <f>(62.12+2.3+0.328+0.1)*1.8*12</f>
        <v>1400.7167999999999</v>
      </c>
      <c r="E12" s="194">
        <f>(56.53+2.2+0.1+0.429)*1.8*12</f>
        <v>1279.9944000000003</v>
      </c>
      <c r="F12" s="194">
        <f>(69.12+2.2+0.1+0.7119)*1.8*12</f>
        <v>1558.0490400000001</v>
      </c>
      <c r="G12" s="194">
        <f>(74.36+2.2+0.1+0.396)*1.8*12</f>
        <v>1664.4096</v>
      </c>
      <c r="H12" s="194">
        <f>(63.96+2.2+0.1+0.5232)*1.8*12</f>
        <v>1442.51712</v>
      </c>
      <c r="I12" s="194">
        <f>(66.9+2.2+0.1+0.4806)*1.8*12</f>
        <v>1505.10096</v>
      </c>
      <c r="J12" s="194">
        <f>(73.38+2.2+0.1+0.2448)*1.8*12</f>
        <v>1639.97568</v>
      </c>
      <c r="K12" s="194">
        <f>(69.81+2.2+0.1+0.3+1.42)*1.8*12</f>
        <v>1594.7280000000001</v>
      </c>
      <c r="L12" s="194">
        <f>(59.01+2.05+0.1+1.42+0.3663)*1.8*12</f>
        <v>1359.6400800000001</v>
      </c>
      <c r="M12" s="194">
        <f>(58.87+2.05+0.594+0.1)*1.8*12</f>
        <v>1330.8624</v>
      </c>
      <c r="N12" s="194">
        <f>(63.92+2.05+0.1)*1.8*12</f>
        <v>1427.1119999999999</v>
      </c>
      <c r="O12" s="194">
        <f>(70.16+2.05+0.1+0.2574)*1.8*12</f>
        <v>1567.4558400000001</v>
      </c>
      <c r="P12" s="194">
        <f>(68.17+2.05+0.1+0.2136)*1.8*12</f>
        <v>1523.52576</v>
      </c>
      <c r="Q12" s="194">
        <f>(68.26+2.5+0.1+0.3)*1.8*12</f>
        <v>1537.056</v>
      </c>
      <c r="R12" s="194">
        <f>(69.12+2.2+0.1)*1.8*12</f>
        <v>1542.672</v>
      </c>
      <c r="S12" s="175"/>
    </row>
    <row r="13" spans="1:20" x14ac:dyDescent="0.25">
      <c r="A13" s="310" t="s">
        <v>982</v>
      </c>
      <c r="B13" s="311" t="s">
        <v>1083</v>
      </c>
      <c r="C13" s="194">
        <f>SUM(D13:R13)</f>
        <v>5542.2359999999999</v>
      </c>
      <c r="D13" s="194">
        <f>(62.12+2.3)*1.8*12*25%</f>
        <v>347.86799999999999</v>
      </c>
      <c r="E13" s="194">
        <f>(56.53+2.2)*1.8*12*25%</f>
        <v>317.14200000000005</v>
      </c>
      <c r="F13" s="194">
        <f>(69.12+2.2)*1.8*12*25%</f>
        <v>385.12800000000004</v>
      </c>
      <c r="G13" s="194">
        <f>(74.36+2.2)*1.8*12*25%</f>
        <v>413.42400000000009</v>
      </c>
      <c r="H13" s="194">
        <f>(63.96+2.2)*1.8*12*25%</f>
        <v>357.26400000000001</v>
      </c>
      <c r="I13" s="194">
        <f>(66.9+2.2)*1.8*12*25%</f>
        <v>373.1400000000001</v>
      </c>
      <c r="J13" s="194">
        <f>(73.38+2.2)*1.8*12*25%</f>
        <v>408.13200000000006</v>
      </c>
      <c r="K13" s="194">
        <f>(69.81+2.2)*1.8*12*25%</f>
        <v>388.85400000000004</v>
      </c>
      <c r="L13" s="194">
        <f>(59.01+2.05)*1.8*12*25%</f>
        <v>329.72399999999993</v>
      </c>
      <c r="M13" s="194">
        <f>(58.87+2.05)*1.8*12*25%</f>
        <v>328.96799999999996</v>
      </c>
      <c r="N13" s="194">
        <f>(63.92+2.05)*1.8*12*25%</f>
        <v>356.238</v>
      </c>
      <c r="O13" s="194">
        <f>(70.16+2.05)*1.8*12*25%</f>
        <v>389.93399999999997</v>
      </c>
      <c r="P13" s="194">
        <f>(68.17+2.05)*1.8*12*25%</f>
        <v>379.18799999999999</v>
      </c>
      <c r="Q13" s="194">
        <f>(68.26+2.5)*1.8*12*25%</f>
        <v>382.10400000000004</v>
      </c>
      <c r="R13" s="194">
        <f>(69.12+2.2)*1.8*12*25%</f>
        <v>385.12800000000004</v>
      </c>
    </row>
    <row r="14" spans="1:20" x14ac:dyDescent="0.25">
      <c r="A14" s="310" t="s">
        <v>983</v>
      </c>
      <c r="B14" s="311" t="s">
        <v>1254</v>
      </c>
      <c r="C14" s="194">
        <f>SUM(D14:R14)</f>
        <v>5013.0161280000002</v>
      </c>
      <c r="D14" s="194">
        <f>(62.12+2.3+0.328)*1.8*12*22.5%</f>
        <v>314.67528000000004</v>
      </c>
      <c r="E14" s="194">
        <f>(56.53+2.2+0.429)*1.8*12*22.5%</f>
        <v>287.51274000000006</v>
      </c>
      <c r="F14" s="194">
        <f>(69.12+2.2+0.7119)*1.8*12*22.5%</f>
        <v>350.07503400000013</v>
      </c>
      <c r="G14" s="194">
        <f>(74.36+2.2+0.396)*1.8*12*22.5%</f>
        <v>374.00616000000002</v>
      </c>
      <c r="H14" s="194">
        <f>(63.96+2.2+0.5232)*1.8*12*22.5%</f>
        <v>324.080352</v>
      </c>
      <c r="I14" s="194">
        <f>(66.9+2.2+0.4806)*1.8*12*22.5%</f>
        <v>338.16171600000001</v>
      </c>
      <c r="J14" s="194">
        <f>(73.38+2.2+0.2448)*1.8*12*22.5%</f>
        <v>368.50852799999996</v>
      </c>
      <c r="K14" s="194">
        <f>(69.81+2.2+0.3)*1.8*12*22.5%</f>
        <v>351.42660000000006</v>
      </c>
      <c r="L14" s="194">
        <f>(59.01+2.05+0.3663)*1.8*12*22.5%</f>
        <v>298.53181799999999</v>
      </c>
      <c r="M14" s="194">
        <f>(58.87+2.05+0.594)*1.8*12*22.5%</f>
        <v>298.95804000000004</v>
      </c>
      <c r="N14" s="194">
        <f>(63.92+2.05)*1.8*12*22.5%</f>
        <v>320.61419999999998</v>
      </c>
      <c r="O14" s="194">
        <f>(70.16+2.05+0.2574)*1.8*12*22.5%</f>
        <v>352.19156399999997</v>
      </c>
      <c r="P14" s="194">
        <f>(68.17+2.05+0.2136)*1.8*12*22.5%</f>
        <v>342.30729600000001</v>
      </c>
      <c r="Q14" s="194">
        <f>(68.26+2.5+0.3)*1.8*12*22.5%</f>
        <v>345.35160000000002</v>
      </c>
      <c r="R14" s="194">
        <f>(69.12+2.2)*1.8*12*22.5%</f>
        <v>346.61520000000007</v>
      </c>
    </row>
    <row r="15" spans="1:20" x14ac:dyDescent="0.25">
      <c r="A15" s="310" t="s">
        <v>984</v>
      </c>
      <c r="B15" s="311" t="s">
        <v>1252</v>
      </c>
      <c r="C15" s="194">
        <f t="shared" ref="C15:C22" si="3">SUM(D15:R15)</f>
        <v>7868.6640000000007</v>
      </c>
      <c r="D15" s="194">
        <f>(21.13)*1.8*12+11*1.8*12*17%</f>
        <v>496.8</v>
      </c>
      <c r="E15" s="194">
        <f>(20.72)*1.8*12+11*1.8*12*17%</f>
        <v>487.94400000000002</v>
      </c>
      <c r="F15" s="194">
        <f>(23.39)*1.8*12+13*1.8*12*17%</f>
        <v>552.96</v>
      </c>
      <c r="G15" s="194">
        <f>(23.74)*1.8*12+13*1.8*12*17%</f>
        <v>560.52</v>
      </c>
      <c r="H15" s="194">
        <f>(23.23)*1.8*12+13*1.8*12*17%</f>
        <v>549.50400000000002</v>
      </c>
      <c r="I15" s="194">
        <f>(20.22)*1.8*12+10*1.8*12*17%</f>
        <v>473.47200000000004</v>
      </c>
      <c r="J15" s="194">
        <f>(23.23)*1.8*12+13*1.8*12*17%</f>
        <v>549.50400000000002</v>
      </c>
      <c r="K15" s="194">
        <f>(23.77)*1.8*12+13*1.8*12*17%</f>
        <v>561.16800000000001</v>
      </c>
      <c r="L15" s="194">
        <f>(18.19)*1.8*12+10*1.8*12*17%</f>
        <v>429.62400000000008</v>
      </c>
      <c r="M15" s="194">
        <f>(20.1)*1.8*12+11*1.8*12*17%</f>
        <v>474.55200000000008</v>
      </c>
      <c r="N15" s="194">
        <f>(22.02)*1.8*12+13*1.8*12*17%</f>
        <v>523.36800000000005</v>
      </c>
      <c r="O15" s="194">
        <f>(24.31)*1.8*12+13*1.8*12*17%</f>
        <v>572.83199999999999</v>
      </c>
      <c r="P15" s="194">
        <f>(24.8)*1.8*12+13*1.8*12*17%</f>
        <v>583.41600000000005</v>
      </c>
      <c r="Q15" s="194">
        <f>(24)*1.8*12+13*1.8*12*17%</f>
        <v>566.13600000000008</v>
      </c>
      <c r="R15" s="194">
        <f>(20.5)*1.8*12+12*1.8*12*17%</f>
        <v>486.86399999999998</v>
      </c>
    </row>
    <row r="16" spans="1:20" x14ac:dyDescent="0.25">
      <c r="A16" s="310" t="s">
        <v>985</v>
      </c>
      <c r="B16" s="311" t="s">
        <v>1253</v>
      </c>
      <c r="C16" s="194">
        <f t="shared" si="3"/>
        <v>11391.839999999998</v>
      </c>
      <c r="D16" s="194">
        <f>(26.9*1.8*12)+(12*1.8*12*3%)</f>
        <v>588.81599999999992</v>
      </c>
      <c r="E16" s="194">
        <f>(25.24*1.8*12)+(12*1.8*12*3%)</f>
        <v>552.95999999999992</v>
      </c>
      <c r="F16" s="194">
        <f>(44*1.8*12)+(22*1.8*12*3%)</f>
        <v>964.65600000000006</v>
      </c>
      <c r="G16" s="194">
        <f>(40.74*1.8*12)+(20*1.8*12*3%)</f>
        <v>892.94400000000019</v>
      </c>
      <c r="H16" s="194">
        <f>(40.12*1.8*12)+(20*1.8*12*3%)</f>
        <v>879.55199999999991</v>
      </c>
      <c r="I16" s="194">
        <f>(31.66*1.8*12)+(16*1.8*12*3%)</f>
        <v>694.22400000000005</v>
      </c>
      <c r="J16" s="194">
        <f>(24.32*1.8*12)+(12*1.8*12*3%)</f>
        <v>533.08799999999997</v>
      </c>
      <c r="K16" s="194">
        <f>(54.26*1.8*12)+(26*1.8*12*3%)</f>
        <v>1188.8639999999998</v>
      </c>
      <c r="L16" s="194">
        <f>(15.6*1.8*12)+(8*1.8*12*3%)</f>
        <v>342.14400000000001</v>
      </c>
      <c r="M16" s="194">
        <f>(35.76*1.8*12)+(18*1.8*12*3%)</f>
        <v>784.07999999999993</v>
      </c>
      <c r="N16" s="194">
        <f>(24.04*1.8*12)+(12*1.8*12*3%)</f>
        <v>527.04</v>
      </c>
      <c r="O16" s="194">
        <f>(32.4*1.8*12)+(16*1.8*12*3%)</f>
        <v>710.20800000000008</v>
      </c>
      <c r="P16" s="194">
        <f>(55.24*1.8*12)+(28*1.8*12*3%)</f>
        <v>1211.328</v>
      </c>
      <c r="Q16" s="194">
        <f>(49.94*1.8*12)+(24*1.8*12*3%)</f>
        <v>1094.2559999999999</v>
      </c>
      <c r="R16" s="194">
        <f>(19.5*1.8*12)+(10*1.8*12*3%)</f>
        <v>427.68000000000006</v>
      </c>
      <c r="T16" s="406"/>
    </row>
    <row r="17" spans="1:20" x14ac:dyDescent="0.25">
      <c r="A17" s="310" t="s">
        <v>986</v>
      </c>
      <c r="B17" s="311" t="s">
        <v>1337</v>
      </c>
      <c r="C17" s="194">
        <f t="shared" si="3"/>
        <v>6912</v>
      </c>
      <c r="D17" s="194">
        <f>D8*5*1.8*12*0.5</f>
        <v>324</v>
      </c>
      <c r="E17" s="194">
        <f t="shared" ref="E17:R17" si="4">E8*5*1.8*12*0.5</f>
        <v>324</v>
      </c>
      <c r="F17" s="194">
        <f t="shared" si="4"/>
        <v>594</v>
      </c>
      <c r="G17" s="194">
        <f t="shared" si="4"/>
        <v>540</v>
      </c>
      <c r="H17" s="194">
        <f t="shared" si="4"/>
        <v>540</v>
      </c>
      <c r="I17" s="194">
        <f t="shared" si="4"/>
        <v>432</v>
      </c>
      <c r="J17" s="194">
        <f t="shared" si="4"/>
        <v>324</v>
      </c>
      <c r="K17" s="194">
        <f t="shared" si="4"/>
        <v>702</v>
      </c>
      <c r="L17" s="194">
        <f t="shared" si="4"/>
        <v>216</v>
      </c>
      <c r="M17" s="194">
        <f t="shared" si="4"/>
        <v>486</v>
      </c>
      <c r="N17" s="194">
        <f t="shared" si="4"/>
        <v>324</v>
      </c>
      <c r="O17" s="194">
        <f t="shared" si="4"/>
        <v>432</v>
      </c>
      <c r="P17" s="194">
        <f t="shared" si="4"/>
        <v>756</v>
      </c>
      <c r="Q17" s="194">
        <f t="shared" si="4"/>
        <v>648</v>
      </c>
      <c r="R17" s="194">
        <f t="shared" si="4"/>
        <v>270</v>
      </c>
      <c r="T17" s="406"/>
    </row>
    <row r="18" spans="1:20" x14ac:dyDescent="0.25">
      <c r="A18" s="310" t="s">
        <v>987</v>
      </c>
      <c r="B18" s="311" t="s">
        <v>1084</v>
      </c>
      <c r="C18" s="194">
        <f t="shared" si="3"/>
        <v>847.29599999999994</v>
      </c>
      <c r="D18" s="194">
        <f>(2.817*12)</f>
        <v>33.804000000000002</v>
      </c>
      <c r="E18" s="194">
        <f>(2.817*12)</f>
        <v>33.804000000000002</v>
      </c>
      <c r="F18" s="194">
        <f>(3*12)+(2.817*12)</f>
        <v>69.804000000000002</v>
      </c>
      <c r="G18" s="194">
        <f>8*2.817*12</f>
        <v>270.43200000000002</v>
      </c>
      <c r="H18" s="194">
        <f>(2.817*12)</f>
        <v>33.804000000000002</v>
      </c>
      <c r="I18" s="194">
        <f>(2.817*12)</f>
        <v>33.804000000000002</v>
      </c>
      <c r="J18" s="407">
        <v>0</v>
      </c>
      <c r="K18" s="194">
        <f>(2.817*12*2)</f>
        <v>67.608000000000004</v>
      </c>
      <c r="L18" s="194">
        <f>(2.817*12)</f>
        <v>33.804000000000002</v>
      </c>
      <c r="M18" s="194">
        <f>(4*2.817*12)</f>
        <v>135.21600000000001</v>
      </c>
      <c r="N18" s="194">
        <f>(2.817*12)</f>
        <v>33.804000000000002</v>
      </c>
      <c r="O18" s="407">
        <v>0</v>
      </c>
      <c r="P18" s="194">
        <f>(2*2.817*12)</f>
        <v>67.608000000000004</v>
      </c>
      <c r="Q18" s="194">
        <f>(2.817*12)</f>
        <v>33.804000000000002</v>
      </c>
      <c r="R18" s="194"/>
    </row>
    <row r="19" spans="1:20" x14ac:dyDescent="0.25">
      <c r="A19" s="310" t="s">
        <v>988</v>
      </c>
      <c r="B19" s="311" t="s">
        <v>1085</v>
      </c>
      <c r="C19" s="194">
        <f t="shared" si="3"/>
        <v>2559.6</v>
      </c>
      <c r="D19" s="194">
        <f>25*0.3*12*1.8</f>
        <v>162</v>
      </c>
      <c r="E19" s="194">
        <f>24*0.3*12*1.8</f>
        <v>155.51999999999998</v>
      </c>
      <c r="F19" s="194">
        <f>29*0.3*12*1.8</f>
        <v>187.92</v>
      </c>
      <c r="G19" s="194">
        <f>29*0.3*12*1.8</f>
        <v>187.92</v>
      </c>
      <c r="H19" s="194">
        <f>28*0.3*12*1.8</f>
        <v>181.44000000000003</v>
      </c>
      <c r="I19" s="194">
        <f>28*0.3*12*1.8</f>
        <v>181.44000000000003</v>
      </c>
      <c r="J19" s="194">
        <f>25*0.3*12*1.8</f>
        <v>162</v>
      </c>
      <c r="K19" s="194">
        <f>28*0.3*12*1.8</f>
        <v>181.44000000000003</v>
      </c>
      <c r="L19" s="194">
        <f>23*0.3*12*1.8</f>
        <v>149.04</v>
      </c>
      <c r="M19" s="194">
        <f>28*0.3*12*1.8</f>
        <v>181.44000000000003</v>
      </c>
      <c r="N19" s="194">
        <f>23*0.3*12*1.8</f>
        <v>149.04</v>
      </c>
      <c r="O19" s="194">
        <f>28*0.3*12*1.8</f>
        <v>181.44000000000003</v>
      </c>
      <c r="P19" s="194">
        <f>27*0.3*12*1.8</f>
        <v>174.95999999999998</v>
      </c>
      <c r="Q19" s="194">
        <f>27*0.3*12*1.8</f>
        <v>174.95999999999998</v>
      </c>
      <c r="R19" s="194">
        <f>23*0.3*12*1.8</f>
        <v>149.04</v>
      </c>
    </row>
    <row r="20" spans="1:20" ht="31.5" x14ac:dyDescent="0.25">
      <c r="A20" s="310" t="s">
        <v>989</v>
      </c>
      <c r="B20" s="312" t="s">
        <v>1211</v>
      </c>
      <c r="C20" s="194">
        <f>SUM(D20:R20)</f>
        <v>701.59716000000003</v>
      </c>
      <c r="D20" s="194">
        <f>(1.42+0.348+0.3)*1.8*12</f>
        <v>44.66879999999999</v>
      </c>
      <c r="E20" s="194">
        <f>(1.42+0.348+0.249+0.2)*1.8*12</f>
        <v>47.8872</v>
      </c>
      <c r="F20" s="194">
        <f>(1.42+0.315+0.3+0.2)*1.8*12</f>
        <v>48.275999999999996</v>
      </c>
      <c r="G20" s="194">
        <f>(1.42+0.381+0.366+0.2)*1.49*12</f>
        <v>42.321959999999997</v>
      </c>
      <c r="H20" s="194">
        <f>(0.267+0.3)*1.8*12</f>
        <v>12.247199999999999</v>
      </c>
      <c r="I20" s="194">
        <f>(1.42+0.315+0.348+0.366+0.1)*1.8*12</f>
        <v>55.058399999999992</v>
      </c>
      <c r="J20" s="194">
        <f>(2.35+0.33+0.366+0.2)*1.8*12</f>
        <v>70.113600000000019</v>
      </c>
      <c r="K20" s="194">
        <f>(1.42+0.3+0.306+0.366+0.1)*1.8*12</f>
        <v>53.827199999999998</v>
      </c>
      <c r="L20" s="194">
        <f>(1.42+0.315+0.3+0.333+0.1)*1.8*12</f>
        <v>53.308800000000005</v>
      </c>
      <c r="M20" s="194">
        <f>(1.42+0.249+0.3)*1.8*12</f>
        <v>42.5304</v>
      </c>
      <c r="N20" s="194">
        <f>(1.42+0.249+0.301+0.3+0.1)*1.8*12</f>
        <v>51.192</v>
      </c>
      <c r="O20" s="194">
        <f>(1.42+0.225+0.333+0.2)*1.8*12</f>
        <v>47.044799999999995</v>
      </c>
      <c r="P20" s="194">
        <f>(1.42+0.348+0.333+0.2)*1.8*12</f>
        <v>49.701600000000013</v>
      </c>
      <c r="Q20" s="194">
        <f>(1.42+0.14+0.3)*1.8*12</f>
        <v>40.176000000000002</v>
      </c>
      <c r="R20" s="194">
        <f>(1.42+0.282+0.3)*1.8*12</f>
        <v>43.243199999999995</v>
      </c>
    </row>
    <row r="21" spans="1:20" x14ac:dyDescent="0.25">
      <c r="A21" s="310" t="s">
        <v>990</v>
      </c>
      <c r="B21" s="311" t="s">
        <v>1338</v>
      </c>
      <c r="C21" s="194">
        <f t="shared" si="3"/>
        <v>1992.5999999999995</v>
      </c>
      <c r="D21" s="194">
        <f>5*1.8*12*1.2+5*1.8*12*3%</f>
        <v>132.84</v>
      </c>
      <c r="E21" s="194">
        <f t="shared" ref="E21:R21" si="5">5*1.8*12*1.2+5*1.8*12*3%</f>
        <v>132.84</v>
      </c>
      <c r="F21" s="194">
        <f t="shared" si="5"/>
        <v>132.84</v>
      </c>
      <c r="G21" s="194">
        <f t="shared" si="5"/>
        <v>132.84</v>
      </c>
      <c r="H21" s="194">
        <f t="shared" si="5"/>
        <v>132.84</v>
      </c>
      <c r="I21" s="194">
        <f t="shared" si="5"/>
        <v>132.84</v>
      </c>
      <c r="J21" s="194">
        <f t="shared" si="5"/>
        <v>132.84</v>
      </c>
      <c r="K21" s="194">
        <f t="shared" si="5"/>
        <v>132.84</v>
      </c>
      <c r="L21" s="194">
        <f t="shared" si="5"/>
        <v>132.84</v>
      </c>
      <c r="M21" s="194">
        <f t="shared" si="5"/>
        <v>132.84</v>
      </c>
      <c r="N21" s="194">
        <f t="shared" si="5"/>
        <v>132.84</v>
      </c>
      <c r="O21" s="194">
        <f t="shared" si="5"/>
        <v>132.84</v>
      </c>
      <c r="P21" s="194">
        <f t="shared" si="5"/>
        <v>132.84</v>
      </c>
      <c r="Q21" s="194">
        <f t="shared" si="5"/>
        <v>132.84</v>
      </c>
      <c r="R21" s="194">
        <f t="shared" si="5"/>
        <v>132.84</v>
      </c>
    </row>
    <row r="22" spans="1:20" x14ac:dyDescent="0.25">
      <c r="A22" s="310" t="s">
        <v>991</v>
      </c>
      <c r="B22" s="311" t="s">
        <v>1339</v>
      </c>
      <c r="C22" s="194">
        <f t="shared" si="3"/>
        <v>2847.7440000000001</v>
      </c>
      <c r="D22" s="194">
        <f>D8*1.8*12+D8*1.8*12*3%</f>
        <v>133.48800000000003</v>
      </c>
      <c r="E22" s="194">
        <f>E8*1.8*12+E8*1.8*12*3%</f>
        <v>133.48800000000003</v>
      </c>
      <c r="F22" s="194">
        <f t="shared" ref="F22:R22" si="6">F8*1.8*12+F8*1.8*12*3%</f>
        <v>244.72800000000001</v>
      </c>
      <c r="G22" s="194">
        <f t="shared" si="6"/>
        <v>222.48</v>
      </c>
      <c r="H22" s="194">
        <f t="shared" si="6"/>
        <v>222.48</v>
      </c>
      <c r="I22" s="194">
        <f t="shared" si="6"/>
        <v>177.98400000000001</v>
      </c>
      <c r="J22" s="194">
        <f t="shared" si="6"/>
        <v>133.48800000000003</v>
      </c>
      <c r="K22" s="194">
        <f t="shared" si="6"/>
        <v>289.22399999999999</v>
      </c>
      <c r="L22" s="194">
        <f t="shared" si="6"/>
        <v>88.992000000000004</v>
      </c>
      <c r="M22" s="194">
        <f t="shared" si="6"/>
        <v>200.23199999999997</v>
      </c>
      <c r="N22" s="194">
        <f t="shared" si="6"/>
        <v>133.48800000000003</v>
      </c>
      <c r="O22" s="194">
        <f t="shared" si="6"/>
        <v>177.98400000000001</v>
      </c>
      <c r="P22" s="194">
        <f t="shared" si="6"/>
        <v>311.47199999999998</v>
      </c>
      <c r="Q22" s="194">
        <f t="shared" si="6"/>
        <v>266.97600000000006</v>
      </c>
      <c r="R22" s="194">
        <f t="shared" si="6"/>
        <v>111.24</v>
      </c>
    </row>
    <row r="23" spans="1:20" x14ac:dyDescent="0.25">
      <c r="A23" s="310" t="s">
        <v>1308</v>
      </c>
      <c r="B23" s="311" t="s">
        <v>1255</v>
      </c>
      <c r="C23" s="194">
        <f t="shared" ref="C23:C30" si="7">SUM(D23:R23)</f>
        <v>0</v>
      </c>
      <c r="D23" s="539" t="s">
        <v>1336</v>
      </c>
      <c r="E23" s="540"/>
      <c r="F23" s="540"/>
      <c r="G23" s="540"/>
      <c r="H23" s="540"/>
      <c r="I23" s="540"/>
      <c r="J23" s="540"/>
      <c r="K23" s="540"/>
      <c r="L23" s="540"/>
      <c r="M23" s="540"/>
      <c r="N23" s="540"/>
      <c r="O23" s="540"/>
      <c r="P23" s="540"/>
      <c r="Q23" s="540"/>
      <c r="R23" s="541"/>
    </row>
    <row r="24" spans="1:20" x14ac:dyDescent="0.25">
      <c r="A24" s="310">
        <v>12</v>
      </c>
      <c r="B24" s="311" t="s">
        <v>1087</v>
      </c>
      <c r="C24" s="194">
        <f t="shared" si="7"/>
        <v>1412.6400000000003</v>
      </c>
      <c r="D24" s="194">
        <f>14*0.3*1.8*12</f>
        <v>90.72</v>
      </c>
      <c r="E24" s="194">
        <f>14*0.3*1.8*12</f>
        <v>90.72</v>
      </c>
      <c r="F24" s="194">
        <f>15*0.3*1.8*12</f>
        <v>97.199999999999989</v>
      </c>
      <c r="G24" s="194">
        <f>15*0.3*1.8*12</f>
        <v>97.199999999999989</v>
      </c>
      <c r="H24" s="194">
        <f>14*0.3*1.8*12</f>
        <v>90.72</v>
      </c>
      <c r="I24" s="194">
        <f>14*0.3*1.8*12</f>
        <v>90.72</v>
      </c>
      <c r="J24" s="194">
        <f>14*0.3*1.8*12</f>
        <v>90.72</v>
      </c>
      <c r="K24" s="194">
        <f>15*0.3*1.8*12</f>
        <v>97.199999999999989</v>
      </c>
      <c r="L24" s="194">
        <f>16*0.3*1.8*12</f>
        <v>103.68</v>
      </c>
      <c r="M24" s="194">
        <f>15*0.3*1.8*12</f>
        <v>97.199999999999989</v>
      </c>
      <c r="N24" s="194">
        <f>15*0.3*1.8*12</f>
        <v>97.199999999999989</v>
      </c>
      <c r="O24" s="194">
        <f>15*0.3*1.8*12</f>
        <v>97.199999999999989</v>
      </c>
      <c r="P24" s="194">
        <f>14*0.3*1.8*12</f>
        <v>90.72</v>
      </c>
      <c r="Q24" s="194">
        <f>14*0.3*1.8*12</f>
        <v>90.72</v>
      </c>
      <c r="R24" s="194">
        <f>14*0.3*1.8*12</f>
        <v>90.72</v>
      </c>
    </row>
    <row r="25" spans="1:20" x14ac:dyDescent="0.25">
      <c r="A25" s="305" t="s">
        <v>70</v>
      </c>
      <c r="B25" s="313" t="s">
        <v>1213</v>
      </c>
      <c r="C25" s="313">
        <f>SUM(D25:R25)</f>
        <v>21255</v>
      </c>
      <c r="D25" s="313">
        <f>SUM(D26:D28)</f>
        <v>1245</v>
      </c>
      <c r="E25" s="313">
        <f t="shared" ref="E25:R25" si="8">SUM(E26:E28)</f>
        <v>1245</v>
      </c>
      <c r="F25" s="313">
        <f t="shared" si="8"/>
        <v>1575</v>
      </c>
      <c r="G25" s="313">
        <f t="shared" si="8"/>
        <v>1485</v>
      </c>
      <c r="H25" s="313">
        <f t="shared" si="8"/>
        <v>1485</v>
      </c>
      <c r="I25" s="313">
        <f t="shared" si="8"/>
        <v>1425</v>
      </c>
      <c r="J25" s="313">
        <f t="shared" si="8"/>
        <v>1245</v>
      </c>
      <c r="K25" s="313">
        <f t="shared" si="8"/>
        <v>1755</v>
      </c>
      <c r="L25" s="313">
        <f t="shared" si="8"/>
        <v>1065</v>
      </c>
      <c r="M25" s="313">
        <f t="shared" si="8"/>
        <v>1395</v>
      </c>
      <c r="N25" s="313">
        <f t="shared" si="8"/>
        <v>1245</v>
      </c>
      <c r="O25" s="313">
        <f t="shared" si="8"/>
        <v>1425</v>
      </c>
      <c r="P25" s="313">
        <f t="shared" si="8"/>
        <v>1845</v>
      </c>
      <c r="Q25" s="313">
        <f t="shared" si="8"/>
        <v>1665</v>
      </c>
      <c r="R25" s="313">
        <f t="shared" si="8"/>
        <v>1155</v>
      </c>
    </row>
    <row r="26" spans="1:20" x14ac:dyDescent="0.25">
      <c r="A26" s="318">
        <v>1</v>
      </c>
      <c r="B26" s="311" t="s">
        <v>1541</v>
      </c>
      <c r="C26" s="311">
        <f t="shared" si="7"/>
        <v>8775</v>
      </c>
      <c r="D26" s="311">
        <f>650*90%</f>
        <v>585</v>
      </c>
      <c r="E26" s="311">
        <f t="shared" ref="E26:R26" si="9">650*90%</f>
        <v>585</v>
      </c>
      <c r="F26" s="311">
        <f t="shared" si="9"/>
        <v>585</v>
      </c>
      <c r="G26" s="311">
        <f t="shared" si="9"/>
        <v>585</v>
      </c>
      <c r="H26" s="311">
        <f t="shared" si="9"/>
        <v>585</v>
      </c>
      <c r="I26" s="311">
        <f t="shared" si="9"/>
        <v>585</v>
      </c>
      <c r="J26" s="311">
        <f t="shared" si="9"/>
        <v>585</v>
      </c>
      <c r="K26" s="311">
        <f t="shared" si="9"/>
        <v>585</v>
      </c>
      <c r="L26" s="311">
        <f t="shared" si="9"/>
        <v>585</v>
      </c>
      <c r="M26" s="311">
        <f t="shared" si="9"/>
        <v>585</v>
      </c>
      <c r="N26" s="311">
        <f t="shared" si="9"/>
        <v>585</v>
      </c>
      <c r="O26" s="311">
        <f t="shared" si="9"/>
        <v>585</v>
      </c>
      <c r="P26" s="311">
        <f t="shared" si="9"/>
        <v>585</v>
      </c>
      <c r="Q26" s="311">
        <f t="shared" si="9"/>
        <v>585</v>
      </c>
      <c r="R26" s="311">
        <f t="shared" si="9"/>
        <v>585</v>
      </c>
    </row>
    <row r="27" spans="1:20" x14ac:dyDescent="0.25">
      <c r="A27" s="318">
        <v>2</v>
      </c>
      <c r="B27" s="176" t="s">
        <v>1542</v>
      </c>
      <c r="C27" s="311">
        <f>SUM(D27:R27)</f>
        <v>11520</v>
      </c>
      <c r="D27" s="311">
        <f t="shared" ref="D27:R27" si="10">(100*D8)*90%</f>
        <v>540</v>
      </c>
      <c r="E27" s="311">
        <f t="shared" si="10"/>
        <v>540</v>
      </c>
      <c r="F27" s="311">
        <f t="shared" si="10"/>
        <v>990</v>
      </c>
      <c r="G27" s="311">
        <f t="shared" si="10"/>
        <v>900</v>
      </c>
      <c r="H27" s="311">
        <f t="shared" si="10"/>
        <v>900</v>
      </c>
      <c r="I27" s="311">
        <f t="shared" si="10"/>
        <v>720</v>
      </c>
      <c r="J27" s="311">
        <f t="shared" si="10"/>
        <v>540</v>
      </c>
      <c r="K27" s="311">
        <f t="shared" si="10"/>
        <v>1170</v>
      </c>
      <c r="L27" s="311">
        <f t="shared" si="10"/>
        <v>360</v>
      </c>
      <c r="M27" s="311">
        <f t="shared" si="10"/>
        <v>810</v>
      </c>
      <c r="N27" s="311">
        <f t="shared" si="10"/>
        <v>540</v>
      </c>
      <c r="O27" s="311">
        <f t="shared" si="10"/>
        <v>720</v>
      </c>
      <c r="P27" s="311">
        <f t="shared" si="10"/>
        <v>1260</v>
      </c>
      <c r="Q27" s="311">
        <f t="shared" si="10"/>
        <v>1080</v>
      </c>
      <c r="R27" s="311">
        <f t="shared" si="10"/>
        <v>450</v>
      </c>
    </row>
    <row r="28" spans="1:20" ht="31.5" x14ac:dyDescent="0.25">
      <c r="A28" s="318">
        <v>3</v>
      </c>
      <c r="B28" s="314" t="s">
        <v>1543</v>
      </c>
      <c r="C28" s="315">
        <f>SUM(D28:R28)</f>
        <v>960</v>
      </c>
      <c r="D28" s="315">
        <f>D8*20</f>
        <v>120</v>
      </c>
      <c r="E28" s="315">
        <f>E8*20</f>
        <v>120</v>
      </c>
      <c r="F28" s="315">
        <v>0</v>
      </c>
      <c r="G28" s="315">
        <v>0</v>
      </c>
      <c r="H28" s="315">
        <v>0</v>
      </c>
      <c r="I28" s="315">
        <f>I8*15</f>
        <v>120</v>
      </c>
      <c r="J28" s="315">
        <f>J8*20</f>
        <v>120</v>
      </c>
      <c r="K28" s="315">
        <v>0</v>
      </c>
      <c r="L28" s="315">
        <f>L8*30</f>
        <v>120</v>
      </c>
      <c r="M28" s="315">
        <v>0</v>
      </c>
      <c r="N28" s="315">
        <f>N8*20</f>
        <v>120</v>
      </c>
      <c r="O28" s="315">
        <f>O8*15</f>
        <v>120</v>
      </c>
      <c r="P28" s="315">
        <v>0</v>
      </c>
      <c r="Q28" s="315">
        <v>0</v>
      </c>
      <c r="R28" s="315">
        <f>R8*24</f>
        <v>120</v>
      </c>
    </row>
    <row r="29" spans="1:20" s="179" customFormat="1" x14ac:dyDescent="0.25">
      <c r="A29" s="305" t="s">
        <v>73</v>
      </c>
      <c r="B29" s="313" t="s">
        <v>1534</v>
      </c>
      <c r="C29" s="313">
        <f>SUM(D29:R29)</f>
        <v>12194.6</v>
      </c>
      <c r="D29" s="313">
        <f>SUM(D30:D41)</f>
        <v>731.19999999999993</v>
      </c>
      <c r="E29" s="313">
        <f t="shared" ref="E29:R29" si="11">SUM(E30:E41)</f>
        <v>743.9</v>
      </c>
      <c r="F29" s="313">
        <f t="shared" si="11"/>
        <v>957.65</v>
      </c>
      <c r="G29" s="313">
        <f t="shared" si="11"/>
        <v>919.19999999999993</v>
      </c>
      <c r="H29" s="313">
        <f t="shared" si="11"/>
        <v>894.6</v>
      </c>
      <c r="I29" s="313">
        <f t="shared" si="11"/>
        <v>786.50000000000011</v>
      </c>
      <c r="J29" s="313">
        <f t="shared" si="11"/>
        <v>632.1</v>
      </c>
      <c r="K29" s="313">
        <f t="shared" si="11"/>
        <v>1027.3499999999999</v>
      </c>
      <c r="L29" s="313">
        <f t="shared" si="11"/>
        <v>603.90000000000009</v>
      </c>
      <c r="M29" s="313">
        <f t="shared" si="11"/>
        <v>787.15</v>
      </c>
      <c r="N29" s="313">
        <f t="shared" si="11"/>
        <v>630.9</v>
      </c>
      <c r="O29" s="313">
        <f t="shared" si="11"/>
        <v>815.9</v>
      </c>
      <c r="P29" s="313">
        <f t="shared" si="11"/>
        <v>1095.1999999999998</v>
      </c>
      <c r="Q29" s="313">
        <f t="shared" si="11"/>
        <v>994.59999999999991</v>
      </c>
      <c r="R29" s="313">
        <f t="shared" si="11"/>
        <v>574.45000000000005</v>
      </c>
    </row>
    <row r="30" spans="1:20" ht="31.5" x14ac:dyDescent="0.25">
      <c r="A30" s="318">
        <v>1</v>
      </c>
      <c r="B30" s="312" t="s">
        <v>1212</v>
      </c>
      <c r="C30" s="311">
        <f t="shared" si="7"/>
        <v>1792</v>
      </c>
      <c r="D30" s="311">
        <f t="shared" ref="D30:R30" si="12">14*D8</f>
        <v>84</v>
      </c>
      <c r="E30" s="311">
        <f t="shared" si="12"/>
        <v>84</v>
      </c>
      <c r="F30" s="311">
        <f t="shared" si="12"/>
        <v>154</v>
      </c>
      <c r="G30" s="311">
        <f t="shared" si="12"/>
        <v>140</v>
      </c>
      <c r="H30" s="311">
        <f t="shared" si="12"/>
        <v>140</v>
      </c>
      <c r="I30" s="311">
        <f t="shared" si="12"/>
        <v>112</v>
      </c>
      <c r="J30" s="311">
        <f t="shared" si="12"/>
        <v>84</v>
      </c>
      <c r="K30" s="311">
        <f t="shared" si="12"/>
        <v>182</v>
      </c>
      <c r="L30" s="311">
        <f t="shared" si="12"/>
        <v>56</v>
      </c>
      <c r="M30" s="311">
        <f t="shared" si="12"/>
        <v>126</v>
      </c>
      <c r="N30" s="311">
        <f t="shared" si="12"/>
        <v>84</v>
      </c>
      <c r="O30" s="311">
        <f t="shared" si="12"/>
        <v>112</v>
      </c>
      <c r="P30" s="311">
        <f t="shared" si="12"/>
        <v>196</v>
      </c>
      <c r="Q30" s="311">
        <f t="shared" si="12"/>
        <v>168</v>
      </c>
      <c r="R30" s="311">
        <f t="shared" si="12"/>
        <v>70</v>
      </c>
    </row>
    <row r="31" spans="1:20" x14ac:dyDescent="0.25">
      <c r="A31" s="318">
        <v>2</v>
      </c>
      <c r="B31" s="312" t="s">
        <v>1257</v>
      </c>
      <c r="C31" s="311">
        <f t="shared" ref="C31:C39" si="13">SUM(D31:R31)</f>
        <v>450</v>
      </c>
      <c r="D31" s="311">
        <v>30</v>
      </c>
      <c r="E31" s="311">
        <v>30</v>
      </c>
      <c r="F31" s="311">
        <v>30</v>
      </c>
      <c r="G31" s="311">
        <v>30</v>
      </c>
      <c r="H31" s="311">
        <v>30</v>
      </c>
      <c r="I31" s="311">
        <v>30</v>
      </c>
      <c r="J31" s="311">
        <v>30</v>
      </c>
      <c r="K31" s="311">
        <v>30</v>
      </c>
      <c r="L31" s="311">
        <v>30</v>
      </c>
      <c r="M31" s="311">
        <v>30</v>
      </c>
      <c r="N31" s="311">
        <v>30</v>
      </c>
      <c r="O31" s="311">
        <v>30</v>
      </c>
      <c r="P31" s="311">
        <v>30</v>
      </c>
      <c r="Q31" s="311">
        <v>30</v>
      </c>
      <c r="R31" s="311">
        <v>30</v>
      </c>
    </row>
    <row r="32" spans="1:20" ht="31.5" x14ac:dyDescent="0.25">
      <c r="A32" s="318">
        <v>3</v>
      </c>
      <c r="B32" s="312" t="s">
        <v>1309</v>
      </c>
      <c r="C32" s="311">
        <f t="shared" si="13"/>
        <v>1280</v>
      </c>
      <c r="D32" s="311">
        <f t="shared" ref="D32:R32" si="14">10*D8</f>
        <v>60</v>
      </c>
      <c r="E32" s="311">
        <f t="shared" si="14"/>
        <v>60</v>
      </c>
      <c r="F32" s="311">
        <f t="shared" si="14"/>
        <v>110</v>
      </c>
      <c r="G32" s="311">
        <f t="shared" si="14"/>
        <v>100</v>
      </c>
      <c r="H32" s="311">
        <f t="shared" si="14"/>
        <v>100</v>
      </c>
      <c r="I32" s="311">
        <f t="shared" si="14"/>
        <v>80</v>
      </c>
      <c r="J32" s="311">
        <f t="shared" si="14"/>
        <v>60</v>
      </c>
      <c r="K32" s="311">
        <f t="shared" si="14"/>
        <v>130</v>
      </c>
      <c r="L32" s="311">
        <f t="shared" si="14"/>
        <v>40</v>
      </c>
      <c r="M32" s="311">
        <f t="shared" si="14"/>
        <v>90</v>
      </c>
      <c r="N32" s="311">
        <f t="shared" si="14"/>
        <v>60</v>
      </c>
      <c r="O32" s="311">
        <f t="shared" si="14"/>
        <v>80</v>
      </c>
      <c r="P32" s="311">
        <f t="shared" si="14"/>
        <v>140</v>
      </c>
      <c r="Q32" s="311">
        <f t="shared" si="14"/>
        <v>120</v>
      </c>
      <c r="R32" s="311">
        <f t="shared" si="14"/>
        <v>50</v>
      </c>
    </row>
    <row r="33" spans="1:18" x14ac:dyDescent="0.25">
      <c r="A33" s="318">
        <v>4</v>
      </c>
      <c r="B33" s="312" t="s">
        <v>1342</v>
      </c>
      <c r="C33" s="311">
        <f>SUM(D33:R33)</f>
        <v>2847.0000000000005</v>
      </c>
      <c r="D33" s="311">
        <f>8*0.065*365</f>
        <v>189.8</v>
      </c>
      <c r="E33" s="311">
        <f t="shared" ref="E33:R33" si="15">8*0.065*365</f>
        <v>189.8</v>
      </c>
      <c r="F33" s="311">
        <f t="shared" si="15"/>
        <v>189.8</v>
      </c>
      <c r="G33" s="311">
        <f t="shared" si="15"/>
        <v>189.8</v>
      </c>
      <c r="H33" s="311">
        <f t="shared" si="15"/>
        <v>189.8</v>
      </c>
      <c r="I33" s="311">
        <f t="shared" si="15"/>
        <v>189.8</v>
      </c>
      <c r="J33" s="311">
        <f t="shared" si="15"/>
        <v>189.8</v>
      </c>
      <c r="K33" s="311">
        <f t="shared" si="15"/>
        <v>189.8</v>
      </c>
      <c r="L33" s="311">
        <f t="shared" si="15"/>
        <v>189.8</v>
      </c>
      <c r="M33" s="311">
        <f t="shared" si="15"/>
        <v>189.8</v>
      </c>
      <c r="N33" s="311">
        <f t="shared" si="15"/>
        <v>189.8</v>
      </c>
      <c r="O33" s="311">
        <f t="shared" si="15"/>
        <v>189.8</v>
      </c>
      <c r="P33" s="311">
        <f t="shared" si="15"/>
        <v>189.8</v>
      </c>
      <c r="Q33" s="311">
        <f t="shared" si="15"/>
        <v>189.8</v>
      </c>
      <c r="R33" s="311">
        <f t="shared" si="15"/>
        <v>189.8</v>
      </c>
    </row>
    <row r="34" spans="1:18" x14ac:dyDescent="0.25">
      <c r="A34" s="318">
        <v>5</v>
      </c>
      <c r="B34" s="312" t="s">
        <v>1310</v>
      </c>
      <c r="C34" s="311">
        <f t="shared" si="13"/>
        <v>640</v>
      </c>
      <c r="D34" s="311">
        <f t="shared" ref="D34:R34" si="16">D8*5</f>
        <v>30</v>
      </c>
      <c r="E34" s="311">
        <f t="shared" si="16"/>
        <v>30</v>
      </c>
      <c r="F34" s="311">
        <f t="shared" si="16"/>
        <v>55</v>
      </c>
      <c r="G34" s="311">
        <f t="shared" si="16"/>
        <v>50</v>
      </c>
      <c r="H34" s="311">
        <f t="shared" si="16"/>
        <v>50</v>
      </c>
      <c r="I34" s="311">
        <f t="shared" si="16"/>
        <v>40</v>
      </c>
      <c r="J34" s="311">
        <f t="shared" si="16"/>
        <v>30</v>
      </c>
      <c r="K34" s="311">
        <f t="shared" si="16"/>
        <v>65</v>
      </c>
      <c r="L34" s="311">
        <f t="shared" si="16"/>
        <v>20</v>
      </c>
      <c r="M34" s="311">
        <f t="shared" si="16"/>
        <v>45</v>
      </c>
      <c r="N34" s="311">
        <f t="shared" si="16"/>
        <v>30</v>
      </c>
      <c r="O34" s="311">
        <f t="shared" si="16"/>
        <v>40</v>
      </c>
      <c r="P34" s="311">
        <f t="shared" si="16"/>
        <v>70</v>
      </c>
      <c r="Q34" s="311">
        <f t="shared" si="16"/>
        <v>60</v>
      </c>
      <c r="R34" s="311">
        <f t="shared" si="16"/>
        <v>25</v>
      </c>
    </row>
    <row r="35" spans="1:18" s="179" customFormat="1" x14ac:dyDescent="0.25">
      <c r="A35" s="318">
        <v>6</v>
      </c>
      <c r="B35" s="312" t="s">
        <v>1555</v>
      </c>
      <c r="C35" s="311">
        <f>SUM(D35:R35)</f>
        <v>727</v>
      </c>
      <c r="D35" s="408">
        <v>36.5</v>
      </c>
      <c r="E35" s="408">
        <v>38.5</v>
      </c>
      <c r="F35" s="408">
        <f>57.5+1</f>
        <v>58.5</v>
      </c>
      <c r="G35" s="408">
        <v>57.5</v>
      </c>
      <c r="H35" s="408">
        <v>54</v>
      </c>
      <c r="I35" s="408">
        <v>46</v>
      </c>
      <c r="J35" s="408">
        <v>40.5</v>
      </c>
      <c r="K35" s="408">
        <v>65.5</v>
      </c>
      <c r="L35" s="408">
        <v>31</v>
      </c>
      <c r="M35" s="408">
        <v>51</v>
      </c>
      <c r="N35" s="408">
        <v>39</v>
      </c>
      <c r="O35" s="408">
        <v>46</v>
      </c>
      <c r="P35" s="408">
        <v>67.5</v>
      </c>
      <c r="Q35" s="408">
        <v>61.5</v>
      </c>
      <c r="R35" s="408">
        <v>34</v>
      </c>
    </row>
    <row r="36" spans="1:18" s="179" customFormat="1" x14ac:dyDescent="0.25">
      <c r="A36" s="318">
        <v>7</v>
      </c>
      <c r="B36" s="312" t="s">
        <v>1320</v>
      </c>
      <c r="C36" s="311">
        <f>SUM(D36:R36)</f>
        <v>1721.8</v>
      </c>
      <c r="D36" s="311">
        <v>64.099999999999994</v>
      </c>
      <c r="E36" s="311">
        <v>74.8</v>
      </c>
      <c r="F36" s="311">
        <v>161.6</v>
      </c>
      <c r="G36" s="311">
        <v>168.8</v>
      </c>
      <c r="H36" s="311">
        <v>147.69999999999999</v>
      </c>
      <c r="I36" s="311">
        <v>136.9</v>
      </c>
      <c r="J36" s="311">
        <v>77.3</v>
      </c>
      <c r="K36" s="311">
        <v>135</v>
      </c>
      <c r="L36" s="311">
        <v>45.9</v>
      </c>
      <c r="M36" s="311">
        <v>87.9</v>
      </c>
      <c r="N36" s="311">
        <v>77.599999999999994</v>
      </c>
      <c r="O36" s="311">
        <v>166.3</v>
      </c>
      <c r="P36" s="311">
        <v>156.19999999999999</v>
      </c>
      <c r="Q36" s="311">
        <v>150.9</v>
      </c>
      <c r="R36" s="311">
        <v>70.8</v>
      </c>
    </row>
    <row r="37" spans="1:18" s="179" customFormat="1" x14ac:dyDescent="0.25">
      <c r="A37" s="318">
        <v>8</v>
      </c>
      <c r="B37" s="311" t="s">
        <v>1086</v>
      </c>
      <c r="C37" s="311">
        <f t="shared" si="13"/>
        <v>334.6</v>
      </c>
      <c r="D37" s="311">
        <f>116+0.3</f>
        <v>116.3</v>
      </c>
      <c r="E37" s="311">
        <f>116+0.3</f>
        <v>116.3</v>
      </c>
      <c r="F37" s="311"/>
      <c r="G37" s="311"/>
      <c r="H37" s="311"/>
      <c r="I37" s="311"/>
      <c r="J37" s="311"/>
      <c r="K37" s="311"/>
      <c r="L37" s="311">
        <v>102</v>
      </c>
      <c r="M37" s="311"/>
      <c r="N37" s="311"/>
      <c r="O37" s="311"/>
      <c r="P37" s="311"/>
      <c r="Q37" s="311"/>
      <c r="R37" s="311"/>
    </row>
    <row r="38" spans="1:18" s="179" customFormat="1" x14ac:dyDescent="0.25">
      <c r="A38" s="318">
        <v>9</v>
      </c>
      <c r="B38" s="311" t="s">
        <v>1256</v>
      </c>
      <c r="C38" s="311">
        <f t="shared" si="13"/>
        <v>75</v>
      </c>
      <c r="D38" s="311">
        <v>5</v>
      </c>
      <c r="E38" s="311">
        <v>5</v>
      </c>
      <c r="F38" s="311">
        <v>5</v>
      </c>
      <c r="G38" s="311">
        <v>5</v>
      </c>
      <c r="H38" s="311">
        <v>5</v>
      </c>
      <c r="I38" s="311">
        <v>5</v>
      </c>
      <c r="J38" s="311">
        <v>5</v>
      </c>
      <c r="K38" s="311">
        <v>5</v>
      </c>
      <c r="L38" s="311">
        <v>5</v>
      </c>
      <c r="M38" s="311">
        <v>5</v>
      </c>
      <c r="N38" s="311">
        <v>5</v>
      </c>
      <c r="O38" s="311">
        <v>5</v>
      </c>
      <c r="P38" s="311">
        <v>5</v>
      </c>
      <c r="Q38" s="311">
        <v>5</v>
      </c>
      <c r="R38" s="311">
        <v>5</v>
      </c>
    </row>
    <row r="39" spans="1:18" s="179" customFormat="1" x14ac:dyDescent="0.25">
      <c r="A39" s="318">
        <v>10</v>
      </c>
      <c r="B39" s="311" t="s">
        <v>1535</v>
      </c>
      <c r="C39" s="311">
        <f t="shared" si="13"/>
        <v>256</v>
      </c>
      <c r="D39" s="311">
        <f>D8*2</f>
        <v>12</v>
      </c>
      <c r="E39" s="311">
        <f t="shared" ref="E39:R39" si="17">E8*2</f>
        <v>12</v>
      </c>
      <c r="F39" s="311">
        <f t="shared" si="17"/>
        <v>22</v>
      </c>
      <c r="G39" s="311">
        <f t="shared" si="17"/>
        <v>20</v>
      </c>
      <c r="H39" s="311">
        <f t="shared" si="17"/>
        <v>20</v>
      </c>
      <c r="I39" s="311">
        <f t="shared" si="17"/>
        <v>16</v>
      </c>
      <c r="J39" s="311">
        <f t="shared" si="17"/>
        <v>12</v>
      </c>
      <c r="K39" s="311">
        <f t="shared" si="17"/>
        <v>26</v>
      </c>
      <c r="L39" s="311">
        <f t="shared" si="17"/>
        <v>8</v>
      </c>
      <c r="M39" s="311">
        <f t="shared" si="17"/>
        <v>18</v>
      </c>
      <c r="N39" s="311">
        <f t="shared" si="17"/>
        <v>12</v>
      </c>
      <c r="O39" s="311">
        <f t="shared" si="17"/>
        <v>16</v>
      </c>
      <c r="P39" s="311">
        <f t="shared" si="17"/>
        <v>28</v>
      </c>
      <c r="Q39" s="311">
        <f t="shared" si="17"/>
        <v>24</v>
      </c>
      <c r="R39" s="311">
        <f t="shared" si="17"/>
        <v>10</v>
      </c>
    </row>
    <row r="40" spans="1:18" s="179" customFormat="1" ht="31.5" x14ac:dyDescent="0.25">
      <c r="A40" s="318">
        <v>11</v>
      </c>
      <c r="B40" s="409" t="s">
        <v>1547</v>
      </c>
      <c r="C40" s="410">
        <f>SUM(D40:R40)</f>
        <v>1747.1999999999998</v>
      </c>
      <c r="D40" s="408">
        <f>(0.65+0.4875)*12*6</f>
        <v>81.899999999999991</v>
      </c>
      <c r="E40" s="408">
        <f t="shared" ref="E40:N40" si="18">(0.65+0.4875)*12*6</f>
        <v>81.899999999999991</v>
      </c>
      <c r="F40" s="408">
        <f>(0.65+0.4875)*12*11</f>
        <v>150.14999999999998</v>
      </c>
      <c r="G40" s="408">
        <f>(0.65+0.4875)*12*10</f>
        <v>136.5</v>
      </c>
      <c r="H40" s="408">
        <f>(0.65+0.4875)*12*10</f>
        <v>136.5</v>
      </c>
      <c r="I40" s="408">
        <f>(0.65+0.4875)*12*8</f>
        <v>109.19999999999999</v>
      </c>
      <c r="J40" s="408">
        <f t="shared" si="18"/>
        <v>81.899999999999991</v>
      </c>
      <c r="K40" s="408">
        <f>(0.65+0.4875)*12*13</f>
        <v>177.45</v>
      </c>
      <c r="L40" s="408">
        <f>(0.65+0.4875)*12*4</f>
        <v>54.599999999999994</v>
      </c>
      <c r="M40" s="408">
        <f>(0.65+0.4875)*12*9</f>
        <v>122.85</v>
      </c>
      <c r="N40" s="408">
        <f t="shared" si="18"/>
        <v>81.899999999999991</v>
      </c>
      <c r="O40" s="408">
        <f>(0.65+0.4875)*12*8</f>
        <v>109.19999999999999</v>
      </c>
      <c r="P40" s="408">
        <f>(0.65+0.4875)*12*14</f>
        <v>191.09999999999997</v>
      </c>
      <c r="Q40" s="408">
        <f>(0.65+0.4875)*12*12</f>
        <v>163.79999999999998</v>
      </c>
      <c r="R40" s="408">
        <f>(0.65+0.4875)*12*5</f>
        <v>68.25</v>
      </c>
    </row>
    <row r="41" spans="1:18" x14ac:dyDescent="0.25">
      <c r="A41" s="310">
        <v>12</v>
      </c>
      <c r="B41" s="311" t="s">
        <v>1503</v>
      </c>
      <c r="C41" s="194">
        <f>SUM(D41:R41)</f>
        <v>324.00000000000006</v>
      </c>
      <c r="D41" s="194">
        <f>1*1.8*12</f>
        <v>21.6</v>
      </c>
      <c r="E41" s="194">
        <f t="shared" ref="E41:R41" si="19">1*1.8*12</f>
        <v>21.6</v>
      </c>
      <c r="F41" s="194">
        <f t="shared" si="19"/>
        <v>21.6</v>
      </c>
      <c r="G41" s="194">
        <f t="shared" si="19"/>
        <v>21.6</v>
      </c>
      <c r="H41" s="194">
        <f t="shared" si="19"/>
        <v>21.6</v>
      </c>
      <c r="I41" s="194">
        <f t="shared" si="19"/>
        <v>21.6</v>
      </c>
      <c r="J41" s="194">
        <f t="shared" si="19"/>
        <v>21.6</v>
      </c>
      <c r="K41" s="194">
        <f t="shared" si="19"/>
        <v>21.6</v>
      </c>
      <c r="L41" s="194">
        <f t="shared" si="19"/>
        <v>21.6</v>
      </c>
      <c r="M41" s="194">
        <f t="shared" si="19"/>
        <v>21.6</v>
      </c>
      <c r="N41" s="194">
        <f t="shared" si="19"/>
        <v>21.6</v>
      </c>
      <c r="O41" s="194">
        <f t="shared" si="19"/>
        <v>21.6</v>
      </c>
      <c r="P41" s="194">
        <f t="shared" si="19"/>
        <v>21.6</v>
      </c>
      <c r="Q41" s="194">
        <f t="shared" si="19"/>
        <v>21.6</v>
      </c>
      <c r="R41" s="194">
        <f t="shared" si="19"/>
        <v>21.6</v>
      </c>
    </row>
    <row r="42" spans="1:18" x14ac:dyDescent="0.25">
      <c r="A42" s="305" t="s">
        <v>77</v>
      </c>
      <c r="B42" s="313" t="s">
        <v>1307</v>
      </c>
      <c r="C42" s="313">
        <f>SUM(D42:R42)</f>
        <v>2255</v>
      </c>
      <c r="D42" s="313">
        <f t="shared" ref="D42:R42" si="20">(650+(100*D8))*10%</f>
        <v>125</v>
      </c>
      <c r="E42" s="313">
        <f t="shared" si="20"/>
        <v>125</v>
      </c>
      <c r="F42" s="313">
        <f t="shared" si="20"/>
        <v>175</v>
      </c>
      <c r="G42" s="313">
        <f t="shared" si="20"/>
        <v>165</v>
      </c>
      <c r="H42" s="313">
        <f t="shared" si="20"/>
        <v>165</v>
      </c>
      <c r="I42" s="313">
        <f t="shared" si="20"/>
        <v>145</v>
      </c>
      <c r="J42" s="313">
        <f t="shared" si="20"/>
        <v>125</v>
      </c>
      <c r="K42" s="313">
        <f t="shared" si="20"/>
        <v>195</v>
      </c>
      <c r="L42" s="313">
        <f t="shared" si="20"/>
        <v>105</v>
      </c>
      <c r="M42" s="313">
        <f t="shared" si="20"/>
        <v>155</v>
      </c>
      <c r="N42" s="313">
        <f t="shared" si="20"/>
        <v>125</v>
      </c>
      <c r="O42" s="313">
        <f t="shared" si="20"/>
        <v>145</v>
      </c>
      <c r="P42" s="313">
        <f t="shared" si="20"/>
        <v>205</v>
      </c>
      <c r="Q42" s="313">
        <f t="shared" si="20"/>
        <v>185</v>
      </c>
      <c r="R42" s="313">
        <f t="shared" si="20"/>
        <v>115</v>
      </c>
    </row>
    <row r="43" spans="1:18" x14ac:dyDescent="0.25">
      <c r="A43" s="396" t="s">
        <v>16</v>
      </c>
      <c r="B43" s="316" t="s">
        <v>1216</v>
      </c>
      <c r="C43" s="317">
        <f>SUM(D43:R43)</f>
        <v>2103.3529793600001</v>
      </c>
      <c r="D43" s="317">
        <f t="shared" ref="D43:R43" si="21">D10*0.02</f>
        <v>123.4319376</v>
      </c>
      <c r="E43" s="317">
        <f t="shared" si="21"/>
        <v>119.15424680000001</v>
      </c>
      <c r="F43" s="317">
        <f t="shared" si="21"/>
        <v>157.86572147999999</v>
      </c>
      <c r="G43" s="317">
        <f t="shared" si="21"/>
        <v>159.35395439999999</v>
      </c>
      <c r="H43" s="317">
        <f t="shared" si="21"/>
        <v>146.22097343999999</v>
      </c>
      <c r="I43" s="317">
        <f t="shared" si="21"/>
        <v>136.88890152000002</v>
      </c>
      <c r="J43" s="317">
        <f t="shared" si="21"/>
        <v>128.28939616000002</v>
      </c>
      <c r="K43" s="317">
        <f t="shared" si="21"/>
        <v>171.73059600000002</v>
      </c>
      <c r="L43" s="317">
        <f t="shared" si="21"/>
        <v>106.22457395999999</v>
      </c>
      <c r="M43" s="317">
        <f t="shared" si="21"/>
        <v>136.60057679999997</v>
      </c>
      <c r="N43" s="317">
        <f t="shared" si="21"/>
        <v>121.53672399999999</v>
      </c>
      <c r="O43" s="317">
        <f t="shared" si="21"/>
        <v>140.94060407999999</v>
      </c>
      <c r="P43" s="317">
        <f t="shared" si="21"/>
        <v>175.36533312</v>
      </c>
      <c r="Q43" s="317">
        <f t="shared" si="21"/>
        <v>163.13959200000002</v>
      </c>
      <c r="R43" s="317">
        <f t="shared" si="21"/>
        <v>116.609848</v>
      </c>
    </row>
    <row r="44" spans="1:18" x14ac:dyDescent="0.25">
      <c r="B44" s="166" t="s">
        <v>1088</v>
      </c>
      <c r="C44" s="178"/>
      <c r="D44" s="178"/>
      <c r="E44" s="178"/>
      <c r="F44" s="178"/>
      <c r="G44" s="178"/>
      <c r="H44" s="178"/>
      <c r="I44" s="178"/>
      <c r="J44" s="178"/>
      <c r="K44" s="178"/>
      <c r="L44" s="178"/>
      <c r="M44" s="178"/>
      <c r="N44" s="178"/>
      <c r="O44" s="178"/>
      <c r="P44" s="178"/>
      <c r="Q44" s="178"/>
      <c r="R44" s="178"/>
    </row>
    <row r="45" spans="1:18" x14ac:dyDescent="0.25">
      <c r="B45" s="166" t="s">
        <v>1089</v>
      </c>
      <c r="C45" s="178"/>
      <c r="D45" s="178"/>
      <c r="E45" s="178"/>
      <c r="F45" s="178"/>
      <c r="G45" s="178"/>
      <c r="H45" s="178"/>
      <c r="I45" s="178"/>
      <c r="J45" s="178"/>
      <c r="K45" s="178"/>
      <c r="L45" s="178"/>
      <c r="M45" s="178"/>
      <c r="N45" s="178"/>
      <c r="O45" s="178"/>
      <c r="P45" s="178"/>
      <c r="Q45" s="178"/>
      <c r="R45" s="178"/>
    </row>
    <row r="46" spans="1:18" x14ac:dyDescent="0.25">
      <c r="B46" s="166" t="s">
        <v>1507</v>
      </c>
      <c r="C46" s="178"/>
      <c r="D46" s="178"/>
      <c r="E46" s="178"/>
      <c r="F46" s="178"/>
      <c r="G46" s="178"/>
      <c r="H46" s="178"/>
      <c r="I46" s="178"/>
      <c r="J46" s="178"/>
      <c r="K46" s="178"/>
      <c r="L46" s="178"/>
      <c r="M46" s="178"/>
      <c r="N46" s="178"/>
      <c r="O46" s="178"/>
      <c r="P46" s="178"/>
      <c r="Q46" s="178"/>
      <c r="R46" s="178"/>
    </row>
    <row r="47" spans="1:18" x14ac:dyDescent="0.25">
      <c r="B47" s="166" t="s">
        <v>1218</v>
      </c>
      <c r="C47" s="178"/>
      <c r="D47" s="178"/>
      <c r="E47" s="178"/>
      <c r="F47" s="178"/>
      <c r="G47" s="178"/>
      <c r="H47" s="178"/>
      <c r="I47" s="178"/>
      <c r="J47" s="178"/>
      <c r="K47" s="178"/>
      <c r="L47" s="178"/>
      <c r="M47" s="178"/>
      <c r="N47" s="178"/>
      <c r="O47" s="178"/>
      <c r="P47" s="178"/>
      <c r="Q47" s="178"/>
      <c r="R47" s="178"/>
    </row>
    <row r="48" spans="1:18" ht="21.95" customHeight="1" x14ac:dyDescent="0.25">
      <c r="B48" s="265" t="s">
        <v>1536</v>
      </c>
      <c r="C48" s="178"/>
      <c r="D48" s="178"/>
      <c r="E48" s="178"/>
      <c r="F48" s="178"/>
      <c r="G48" s="178"/>
      <c r="H48" s="178"/>
      <c r="I48" s="178"/>
      <c r="J48" s="178"/>
      <c r="K48" s="178"/>
      <c r="L48" s="178"/>
      <c r="M48" s="178"/>
      <c r="N48" s="178"/>
      <c r="O48" s="178"/>
      <c r="P48" s="178"/>
      <c r="Q48" s="178"/>
      <c r="R48" s="178"/>
    </row>
    <row r="49" spans="1:18" ht="21.95" customHeight="1" x14ac:dyDescent="0.25">
      <c r="B49" s="265" t="s">
        <v>1537</v>
      </c>
      <c r="C49" s="178"/>
      <c r="D49" s="178"/>
      <c r="E49" s="178"/>
      <c r="F49" s="178"/>
      <c r="G49" s="178"/>
      <c r="H49" s="178"/>
      <c r="I49" s="178"/>
      <c r="J49" s="178"/>
      <c r="K49" s="178"/>
      <c r="L49" s="178"/>
      <c r="M49" s="178"/>
      <c r="N49" s="178"/>
      <c r="O49" s="178"/>
      <c r="P49" s="178"/>
      <c r="Q49" s="178"/>
      <c r="R49" s="178"/>
    </row>
    <row r="50" spans="1:18" x14ac:dyDescent="0.25">
      <c r="B50" s="179" t="s">
        <v>1152</v>
      </c>
      <c r="C50" s="178"/>
      <c r="D50" s="178"/>
      <c r="E50" s="178"/>
      <c r="F50" s="178"/>
      <c r="G50" s="178"/>
      <c r="H50" s="178"/>
      <c r="I50" s="178"/>
      <c r="J50" s="178"/>
      <c r="K50" s="178"/>
      <c r="L50" s="178"/>
      <c r="M50" s="178"/>
      <c r="N50" s="178"/>
      <c r="O50" s="178"/>
      <c r="P50" s="178"/>
      <c r="Q50" s="178"/>
      <c r="R50" s="178"/>
    </row>
    <row r="51" spans="1:18" x14ac:dyDescent="0.25">
      <c r="C51" s="178"/>
      <c r="E51" s="178"/>
    </row>
    <row r="52" spans="1:18" x14ac:dyDescent="0.25">
      <c r="C52" s="178"/>
      <c r="D52" s="178"/>
      <c r="F52" s="178"/>
      <c r="G52" s="178"/>
      <c r="H52" s="178"/>
      <c r="I52" s="178"/>
      <c r="J52" s="178"/>
      <c r="K52" s="178"/>
      <c r="L52" s="178"/>
      <c r="M52" s="178"/>
      <c r="N52" s="178"/>
      <c r="O52" s="178"/>
      <c r="P52" s="178"/>
      <c r="Q52" s="178"/>
      <c r="R52" s="178"/>
    </row>
    <row r="53" spans="1:18" x14ac:dyDescent="0.25">
      <c r="C53" s="178"/>
      <c r="D53" s="178"/>
      <c r="E53" s="178"/>
      <c r="F53" s="178"/>
      <c r="G53" s="178"/>
      <c r="H53" s="178"/>
      <c r="I53" s="178"/>
      <c r="J53" s="178"/>
      <c r="K53" s="178"/>
      <c r="L53" s="178"/>
      <c r="M53" s="178"/>
      <c r="N53" s="178"/>
      <c r="O53" s="178"/>
      <c r="P53" s="178"/>
      <c r="Q53" s="178"/>
      <c r="R53" s="178"/>
    </row>
    <row r="54" spans="1:18" x14ac:dyDescent="0.25">
      <c r="C54" s="178"/>
      <c r="D54" s="178"/>
      <c r="E54" s="178"/>
      <c r="F54" s="178"/>
      <c r="G54" s="178"/>
      <c r="H54" s="178"/>
      <c r="I54" s="178"/>
      <c r="J54" s="178"/>
      <c r="K54" s="178"/>
      <c r="L54" s="178"/>
      <c r="M54" s="178"/>
      <c r="N54" s="178"/>
      <c r="O54" s="178"/>
      <c r="P54" s="178"/>
      <c r="Q54" s="178"/>
      <c r="R54" s="178"/>
    </row>
    <row r="55" spans="1:18" x14ac:dyDescent="0.25">
      <c r="C55" s="178"/>
      <c r="D55" s="178"/>
      <c r="E55" s="178"/>
      <c r="F55" s="178"/>
      <c r="G55" s="178"/>
      <c r="H55" s="178"/>
      <c r="I55" s="178"/>
      <c r="J55" s="178"/>
      <c r="K55" s="178"/>
      <c r="L55" s="178"/>
      <c r="M55" s="178"/>
      <c r="N55" s="178"/>
      <c r="O55" s="178"/>
      <c r="P55" s="178"/>
      <c r="Q55" s="178"/>
      <c r="R55" s="178"/>
    </row>
    <row r="56" spans="1:18" x14ac:dyDescent="0.25">
      <c r="C56" s="178"/>
      <c r="E56" s="178"/>
    </row>
    <row r="57" spans="1:18" x14ac:dyDescent="0.25">
      <c r="C57" s="178"/>
      <c r="E57" s="178"/>
    </row>
    <row r="58" spans="1:18" x14ac:dyDescent="0.25">
      <c r="C58" s="178"/>
    </row>
    <row r="59" spans="1:18" x14ac:dyDescent="0.25">
      <c r="C59" s="178"/>
    </row>
    <row r="60" spans="1:18" x14ac:dyDescent="0.25">
      <c r="C60" s="178"/>
    </row>
    <row r="61" spans="1:18" x14ac:dyDescent="0.25">
      <c r="C61" s="178"/>
    </row>
    <row r="62" spans="1:18" x14ac:dyDescent="0.25">
      <c r="A62" s="166"/>
      <c r="C62" s="178"/>
    </row>
    <row r="63" spans="1:18" x14ac:dyDescent="0.25">
      <c r="A63" s="166"/>
      <c r="C63" s="178"/>
    </row>
    <row r="64" spans="1:18" x14ac:dyDescent="0.25">
      <c r="A64" s="166"/>
      <c r="C64" s="178"/>
    </row>
    <row r="65" spans="1:3" x14ac:dyDescent="0.25">
      <c r="A65" s="166"/>
      <c r="C65" s="178"/>
    </row>
    <row r="66" spans="1:3" x14ac:dyDescent="0.25">
      <c r="A66" s="166"/>
      <c r="C66" s="178"/>
    </row>
    <row r="67" spans="1:3" x14ac:dyDescent="0.25">
      <c r="A67" s="166"/>
      <c r="C67" s="178"/>
    </row>
    <row r="68" spans="1:3" x14ac:dyDescent="0.25">
      <c r="A68" s="166"/>
      <c r="C68" s="178"/>
    </row>
    <row r="69" spans="1:3" x14ac:dyDescent="0.25">
      <c r="A69" s="166"/>
      <c r="C69" s="178"/>
    </row>
    <row r="70" spans="1:3" x14ac:dyDescent="0.25">
      <c r="A70" s="166"/>
      <c r="C70" s="178"/>
    </row>
    <row r="71" spans="1:3" x14ac:dyDescent="0.25">
      <c r="A71" s="166"/>
      <c r="C71" s="178"/>
    </row>
  </sheetData>
  <mergeCells count="24">
    <mergeCell ref="D23:R23"/>
    <mergeCell ref="D6:D7"/>
    <mergeCell ref="O6:O7"/>
    <mergeCell ref="J6:J7"/>
    <mergeCell ref="K6:K7"/>
    <mergeCell ref="E6:E7"/>
    <mergeCell ref="F6:F7"/>
    <mergeCell ref="G6:G7"/>
    <mergeCell ref="H6:H7"/>
    <mergeCell ref="I6:I7"/>
    <mergeCell ref="P1:R1"/>
    <mergeCell ref="A2:R2"/>
    <mergeCell ref="L6:L7"/>
    <mergeCell ref="M6:M7"/>
    <mergeCell ref="N6:N7"/>
    <mergeCell ref="A4:R4"/>
    <mergeCell ref="P6:P7"/>
    <mergeCell ref="Q6:Q7"/>
    <mergeCell ref="R6:R7"/>
    <mergeCell ref="P5:R5"/>
    <mergeCell ref="A6:A7"/>
    <mergeCell ref="B6:B7"/>
    <mergeCell ref="C6:C7"/>
    <mergeCell ref="A3:R3"/>
  </mergeCells>
  <printOptions horizontalCentered="1"/>
  <pageMargins left="0.24" right="0" top="0.2" bottom="0.37" header="0.22" footer="0.2"/>
  <pageSetup paperSize="9" scale="65" orientation="landscape" verticalDpi="0" r:id="rId1"/>
  <headerFooter>
    <oddFooter>&amp;F</oddFooter>
  </headerFooter>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0000"/>
  </sheetPr>
  <dimension ref="A1:F21"/>
  <sheetViews>
    <sheetView workbookViewId="0">
      <selection activeCell="L6" sqref="L6:L7"/>
    </sheetView>
  </sheetViews>
  <sheetFormatPr defaultRowHeight="15" x14ac:dyDescent="0.25"/>
  <cols>
    <col min="1" max="1" width="6.85546875" customWidth="1"/>
    <col min="2" max="2" width="27.42578125" customWidth="1"/>
    <col min="3" max="3" width="12.7109375" customWidth="1"/>
    <col min="4" max="6" width="11.7109375" customWidth="1"/>
  </cols>
  <sheetData>
    <row r="1" spans="1:6" ht="15.75" x14ac:dyDescent="0.25">
      <c r="F1" s="25" t="s">
        <v>628</v>
      </c>
    </row>
    <row r="2" spans="1:6" ht="33.75" customHeight="1" x14ac:dyDescent="0.25">
      <c r="A2" s="448" t="s">
        <v>666</v>
      </c>
      <c r="B2" s="448"/>
      <c r="C2" s="448"/>
      <c r="D2" s="448"/>
      <c r="E2" s="448"/>
      <c r="F2" s="448"/>
    </row>
    <row r="3" spans="1:6" ht="15.75" x14ac:dyDescent="0.25">
      <c r="A3" s="414" t="s">
        <v>458</v>
      </c>
      <c r="B3" s="414"/>
      <c r="C3" s="414"/>
      <c r="D3" s="414"/>
      <c r="E3" s="414"/>
      <c r="F3" s="414"/>
    </row>
    <row r="4" spans="1:6" ht="15.75" x14ac:dyDescent="0.25">
      <c r="F4" s="26" t="s">
        <v>56</v>
      </c>
    </row>
    <row r="5" spans="1:6" ht="132" customHeight="1" x14ac:dyDescent="0.25">
      <c r="A5" s="29" t="s">
        <v>3</v>
      </c>
      <c r="B5" s="29" t="s">
        <v>468</v>
      </c>
      <c r="C5" s="29" t="s">
        <v>130</v>
      </c>
      <c r="D5" s="29" t="s">
        <v>664</v>
      </c>
      <c r="E5" s="29" t="s">
        <v>667</v>
      </c>
      <c r="F5" s="29" t="s">
        <v>665</v>
      </c>
    </row>
    <row r="6" spans="1:6" ht="15.75" x14ac:dyDescent="0.25">
      <c r="A6" s="28" t="s">
        <v>15</v>
      </c>
      <c r="B6" s="28" t="s">
        <v>16</v>
      </c>
      <c r="C6" s="28" t="s">
        <v>668</v>
      </c>
      <c r="D6" s="28">
        <v>2</v>
      </c>
      <c r="E6" s="28">
        <v>3</v>
      </c>
      <c r="F6" s="28">
        <v>4</v>
      </c>
    </row>
    <row r="7" spans="1:6" ht="15.75" x14ac:dyDescent="0.25">
      <c r="A7" s="29"/>
      <c r="B7" s="30" t="s">
        <v>133</v>
      </c>
      <c r="C7" s="29"/>
      <c r="D7" s="29"/>
      <c r="E7" s="29"/>
      <c r="F7" s="29"/>
    </row>
    <row r="8" spans="1:6" ht="15.75" x14ac:dyDescent="0.25">
      <c r="A8" s="28">
        <v>1</v>
      </c>
      <c r="B8" s="31" t="s">
        <v>169</v>
      </c>
      <c r="C8" s="28"/>
      <c r="D8" s="28"/>
      <c r="E8" s="28"/>
      <c r="F8" s="28"/>
    </row>
    <row r="9" spans="1:6" ht="15.75" x14ac:dyDescent="0.25">
      <c r="A9" s="28">
        <v>2</v>
      </c>
      <c r="B9" s="31" t="s">
        <v>170</v>
      </c>
      <c r="C9" s="28"/>
      <c r="D9" s="28"/>
      <c r="E9" s="28"/>
      <c r="F9" s="28"/>
    </row>
    <row r="10" spans="1:6" ht="15.75" x14ac:dyDescent="0.25">
      <c r="A10" s="28">
        <v>3</v>
      </c>
      <c r="B10" s="31" t="s">
        <v>555</v>
      </c>
      <c r="C10" s="28"/>
      <c r="D10" s="28"/>
      <c r="E10" s="28"/>
      <c r="F10" s="28"/>
    </row>
    <row r="11" spans="1:6" ht="15.75" x14ac:dyDescent="0.25">
      <c r="A11" s="28">
        <v>4</v>
      </c>
      <c r="B11" s="31" t="s">
        <v>172</v>
      </c>
      <c r="C11" s="28"/>
      <c r="D11" s="28"/>
      <c r="E11" s="28"/>
      <c r="F11" s="28"/>
    </row>
    <row r="12" spans="1:6" ht="15.75" x14ac:dyDescent="0.25">
      <c r="A12" s="28">
        <v>5</v>
      </c>
      <c r="B12" s="31" t="s">
        <v>522</v>
      </c>
      <c r="C12" s="28"/>
      <c r="D12" s="28"/>
      <c r="E12" s="28"/>
      <c r="F12" s="28"/>
    </row>
    <row r="13" spans="1:6" ht="15.75" x14ac:dyDescent="0.25">
      <c r="A13" s="28">
        <v>6</v>
      </c>
      <c r="B13" s="31" t="s">
        <v>174</v>
      </c>
      <c r="C13" s="28"/>
      <c r="D13" s="28"/>
      <c r="E13" s="28"/>
      <c r="F13" s="28"/>
    </row>
    <row r="14" spans="1:6" ht="15.75" x14ac:dyDescent="0.25">
      <c r="A14" s="28">
        <v>7</v>
      </c>
      <c r="B14" s="31" t="s">
        <v>175</v>
      </c>
      <c r="C14" s="28"/>
      <c r="D14" s="28"/>
      <c r="E14" s="28"/>
      <c r="F14" s="28"/>
    </row>
    <row r="15" spans="1:6" ht="15.75" x14ac:dyDescent="0.25">
      <c r="A15" s="28">
        <v>8</v>
      </c>
      <c r="B15" s="31" t="s">
        <v>557</v>
      </c>
      <c r="C15" s="28"/>
      <c r="D15" s="28"/>
      <c r="E15" s="28"/>
      <c r="F15" s="28"/>
    </row>
    <row r="16" spans="1:6" ht="15.75" x14ac:dyDescent="0.25">
      <c r="A16" s="28">
        <v>9</v>
      </c>
      <c r="B16" s="31" t="s">
        <v>51</v>
      </c>
      <c r="C16" s="28"/>
      <c r="D16" s="28"/>
      <c r="E16" s="28"/>
      <c r="F16" s="28"/>
    </row>
    <row r="17" spans="1:6" ht="15.75" x14ac:dyDescent="0.25">
      <c r="A17" s="28">
        <v>10</v>
      </c>
      <c r="B17" s="31"/>
      <c r="C17" s="28"/>
      <c r="D17" s="28"/>
      <c r="E17" s="28"/>
      <c r="F17" s="28"/>
    </row>
    <row r="18" spans="1:6" ht="15.75" x14ac:dyDescent="0.25">
      <c r="A18" s="28">
        <v>11</v>
      </c>
      <c r="B18" s="31"/>
      <c r="C18" s="28"/>
      <c r="D18" s="28"/>
      <c r="E18" s="28"/>
      <c r="F18" s="28"/>
    </row>
    <row r="19" spans="1:6" ht="15.75" x14ac:dyDescent="0.25">
      <c r="A19" s="28">
        <v>22</v>
      </c>
      <c r="B19" s="31"/>
      <c r="C19" s="28"/>
      <c r="D19" s="28"/>
      <c r="E19" s="28"/>
      <c r="F19" s="28"/>
    </row>
    <row r="20" spans="1:6" ht="15.75" x14ac:dyDescent="0.25">
      <c r="A20" s="28">
        <v>23</v>
      </c>
      <c r="B20" s="31"/>
      <c r="C20" s="28"/>
      <c r="D20" s="28"/>
      <c r="E20" s="28"/>
      <c r="F20" s="28"/>
    </row>
    <row r="21" spans="1:6" ht="39" customHeight="1" x14ac:dyDescent="0.25">
      <c r="A21" s="447" t="s">
        <v>669</v>
      </c>
      <c r="B21" s="447"/>
      <c r="C21" s="447"/>
      <c r="D21" s="447"/>
      <c r="E21" s="447"/>
      <c r="F21" s="447"/>
    </row>
  </sheetData>
  <mergeCells count="3">
    <mergeCell ref="A2:F2"/>
    <mergeCell ref="A3:F3"/>
    <mergeCell ref="A21:F21"/>
  </mergeCells>
  <pageMargins left="0.7" right="0.7" top="0.75" bottom="0.75" header="0.3" footer="0.3"/>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0000"/>
  </sheetPr>
  <dimension ref="A1:L19"/>
  <sheetViews>
    <sheetView workbookViewId="0">
      <selection activeCell="L6" sqref="L6:L7"/>
    </sheetView>
  </sheetViews>
  <sheetFormatPr defaultRowHeight="15" x14ac:dyDescent="0.25"/>
  <cols>
    <col min="1" max="1" width="6.7109375" customWidth="1"/>
    <col min="2" max="2" width="23.140625" customWidth="1"/>
  </cols>
  <sheetData>
    <row r="1" spans="1:12" ht="15.75" x14ac:dyDescent="0.25">
      <c r="L1" s="25" t="s">
        <v>629</v>
      </c>
    </row>
    <row r="2" spans="1:12" ht="36.75" customHeight="1" x14ac:dyDescent="0.25">
      <c r="A2" s="448" t="s">
        <v>670</v>
      </c>
      <c r="B2" s="448"/>
      <c r="C2" s="448"/>
      <c r="D2" s="448"/>
      <c r="E2" s="448"/>
      <c r="F2" s="448"/>
      <c r="G2" s="448"/>
      <c r="H2" s="448"/>
      <c r="I2" s="448"/>
      <c r="J2" s="448"/>
      <c r="K2" s="448"/>
      <c r="L2" s="448"/>
    </row>
    <row r="3" spans="1:12" x14ac:dyDescent="0.25">
      <c r="A3" s="448" t="s">
        <v>458</v>
      </c>
      <c r="B3" s="542"/>
      <c r="C3" s="542"/>
      <c r="D3" s="542"/>
      <c r="E3" s="542"/>
      <c r="F3" s="542"/>
      <c r="G3" s="542"/>
      <c r="H3" s="542"/>
      <c r="I3" s="542"/>
      <c r="J3" s="542"/>
      <c r="K3" s="542"/>
      <c r="L3" s="542"/>
    </row>
    <row r="4" spans="1:12" ht="15.75" x14ac:dyDescent="0.25">
      <c r="L4" s="26" t="s">
        <v>56</v>
      </c>
    </row>
    <row r="5" spans="1:12" ht="30" customHeight="1" x14ac:dyDescent="0.25">
      <c r="A5" s="449" t="s">
        <v>3</v>
      </c>
      <c r="B5" s="449" t="s">
        <v>468</v>
      </c>
      <c r="C5" s="449" t="s">
        <v>130</v>
      </c>
      <c r="D5" s="449"/>
      <c r="E5" s="449"/>
      <c r="F5" s="449" t="s">
        <v>671</v>
      </c>
      <c r="G5" s="449"/>
      <c r="H5" s="449"/>
      <c r="I5" s="449" t="s">
        <v>671</v>
      </c>
      <c r="J5" s="449"/>
      <c r="K5" s="449"/>
      <c r="L5" s="449" t="s">
        <v>600</v>
      </c>
    </row>
    <row r="6" spans="1:12" ht="59.25" customHeight="1" x14ac:dyDescent="0.25">
      <c r="A6" s="449"/>
      <c r="B6" s="449"/>
      <c r="C6" s="29" t="s">
        <v>130</v>
      </c>
      <c r="D6" s="29" t="s">
        <v>135</v>
      </c>
      <c r="E6" s="29" t="s">
        <v>643</v>
      </c>
      <c r="F6" s="29" t="s">
        <v>130</v>
      </c>
      <c r="G6" s="29" t="s">
        <v>135</v>
      </c>
      <c r="H6" s="29" t="s">
        <v>643</v>
      </c>
      <c r="I6" s="29" t="s">
        <v>130</v>
      </c>
      <c r="J6" s="29" t="s">
        <v>135</v>
      </c>
      <c r="K6" s="29" t="s">
        <v>643</v>
      </c>
      <c r="L6" s="449"/>
    </row>
    <row r="7" spans="1:12" ht="15.75" x14ac:dyDescent="0.25">
      <c r="A7" s="28" t="s">
        <v>15</v>
      </c>
      <c r="B7" s="28" t="s">
        <v>16</v>
      </c>
      <c r="C7" s="28" t="s">
        <v>489</v>
      </c>
      <c r="D7" s="28">
        <v>2</v>
      </c>
      <c r="E7" s="28">
        <v>3</v>
      </c>
      <c r="F7" s="28" t="s">
        <v>490</v>
      </c>
      <c r="G7" s="28">
        <v>5</v>
      </c>
      <c r="H7" s="28">
        <v>6</v>
      </c>
      <c r="I7" s="28" t="s">
        <v>672</v>
      </c>
      <c r="J7" s="28">
        <v>8</v>
      </c>
      <c r="K7" s="28">
        <v>9</v>
      </c>
      <c r="L7" s="28">
        <v>10</v>
      </c>
    </row>
    <row r="8" spans="1:12" ht="15.75" x14ac:dyDescent="0.25">
      <c r="A8" s="28"/>
      <c r="B8" s="30" t="s">
        <v>133</v>
      </c>
      <c r="C8" s="28"/>
      <c r="D8" s="28"/>
      <c r="E8" s="28"/>
      <c r="F8" s="28"/>
      <c r="G8" s="28"/>
      <c r="H8" s="28"/>
      <c r="I8" s="28"/>
      <c r="J8" s="28"/>
      <c r="K8" s="28"/>
      <c r="L8" s="28"/>
    </row>
    <row r="9" spans="1:12" ht="15.75" x14ac:dyDescent="0.25">
      <c r="A9" s="28">
        <v>1</v>
      </c>
      <c r="B9" s="31" t="s">
        <v>169</v>
      </c>
      <c r="C9" s="28"/>
      <c r="D9" s="28"/>
      <c r="E9" s="28"/>
      <c r="F9" s="28"/>
      <c r="G9" s="28"/>
      <c r="H9" s="28"/>
      <c r="I9" s="28"/>
      <c r="J9" s="28"/>
      <c r="K9" s="28"/>
      <c r="L9" s="28"/>
    </row>
    <row r="10" spans="1:12" ht="15.75" x14ac:dyDescent="0.25">
      <c r="A10" s="28">
        <v>2</v>
      </c>
      <c r="B10" s="31" t="s">
        <v>170</v>
      </c>
      <c r="C10" s="28"/>
      <c r="D10" s="28"/>
      <c r="E10" s="28"/>
      <c r="F10" s="28"/>
      <c r="G10" s="28"/>
      <c r="H10" s="28"/>
      <c r="I10" s="28"/>
      <c r="J10" s="28"/>
      <c r="K10" s="28"/>
      <c r="L10" s="28"/>
    </row>
    <row r="11" spans="1:12" ht="15.75" x14ac:dyDescent="0.25">
      <c r="A11" s="28">
        <v>3</v>
      </c>
      <c r="B11" s="31" t="s">
        <v>555</v>
      </c>
      <c r="C11" s="28"/>
      <c r="D11" s="28"/>
      <c r="E11" s="28"/>
      <c r="F11" s="28"/>
      <c r="G11" s="28"/>
      <c r="H11" s="28"/>
      <c r="I11" s="28"/>
      <c r="J11" s="28"/>
      <c r="K11" s="28"/>
      <c r="L11" s="28"/>
    </row>
    <row r="12" spans="1:12" ht="15.75" x14ac:dyDescent="0.25">
      <c r="A12" s="28">
        <v>4</v>
      </c>
      <c r="B12" s="31" t="s">
        <v>172</v>
      </c>
      <c r="C12" s="28"/>
      <c r="D12" s="28"/>
      <c r="E12" s="28"/>
      <c r="F12" s="28"/>
      <c r="G12" s="28"/>
      <c r="H12" s="28"/>
      <c r="I12" s="28"/>
      <c r="J12" s="28"/>
      <c r="K12" s="28"/>
      <c r="L12" s="28"/>
    </row>
    <row r="13" spans="1:12" ht="15.75" x14ac:dyDescent="0.25">
      <c r="A13" s="28">
        <v>5</v>
      </c>
      <c r="B13" s="31" t="s">
        <v>534</v>
      </c>
      <c r="C13" s="28"/>
      <c r="D13" s="28"/>
      <c r="E13" s="28"/>
      <c r="F13" s="28"/>
      <c r="G13" s="28"/>
      <c r="H13" s="28"/>
      <c r="I13" s="28"/>
      <c r="J13" s="28"/>
      <c r="K13" s="28"/>
      <c r="L13" s="28"/>
    </row>
    <row r="14" spans="1:12" ht="15.75" x14ac:dyDescent="0.25">
      <c r="A14" s="28">
        <v>6</v>
      </c>
      <c r="B14" s="31" t="s">
        <v>174</v>
      </c>
      <c r="C14" s="28"/>
      <c r="D14" s="28"/>
      <c r="E14" s="28"/>
      <c r="F14" s="28"/>
      <c r="G14" s="28"/>
      <c r="H14" s="28"/>
      <c r="I14" s="28"/>
      <c r="J14" s="28"/>
      <c r="K14" s="28"/>
      <c r="L14" s="28"/>
    </row>
    <row r="15" spans="1:12" ht="15.75" x14ac:dyDescent="0.25">
      <c r="A15" s="28">
        <v>7</v>
      </c>
      <c r="B15" s="31" t="s">
        <v>175</v>
      </c>
      <c r="C15" s="28"/>
      <c r="D15" s="28"/>
      <c r="E15" s="28"/>
      <c r="F15" s="28"/>
      <c r="G15" s="28"/>
      <c r="H15" s="28"/>
      <c r="I15" s="28"/>
      <c r="J15" s="28"/>
      <c r="K15" s="28"/>
      <c r="L15" s="28"/>
    </row>
    <row r="16" spans="1:12" ht="15.75" x14ac:dyDescent="0.25">
      <c r="A16" s="28">
        <v>8</v>
      </c>
      <c r="B16" s="31" t="s">
        <v>557</v>
      </c>
      <c r="C16" s="28"/>
      <c r="D16" s="28"/>
      <c r="E16" s="28"/>
      <c r="F16" s="28"/>
      <c r="G16" s="28"/>
      <c r="H16" s="28"/>
      <c r="I16" s="28"/>
      <c r="J16" s="28"/>
      <c r="K16" s="28"/>
      <c r="L16" s="28"/>
    </row>
    <row r="17" spans="1:12" ht="15.75" x14ac:dyDescent="0.25">
      <c r="A17" s="28">
        <v>9</v>
      </c>
      <c r="B17" s="31" t="s">
        <v>177</v>
      </c>
      <c r="C17" s="28"/>
      <c r="D17" s="28"/>
      <c r="E17" s="28"/>
      <c r="F17" s="28"/>
      <c r="G17" s="28"/>
      <c r="H17" s="28"/>
      <c r="I17" s="28"/>
      <c r="J17" s="28"/>
      <c r="K17" s="28"/>
      <c r="L17" s="28"/>
    </row>
    <row r="18" spans="1:12" ht="15.75" x14ac:dyDescent="0.25">
      <c r="A18" s="28">
        <v>10</v>
      </c>
      <c r="B18" s="31"/>
      <c r="C18" s="28"/>
      <c r="D18" s="28"/>
      <c r="E18" s="28"/>
      <c r="F18" s="28"/>
      <c r="G18" s="28"/>
      <c r="H18" s="28"/>
      <c r="I18" s="28"/>
      <c r="J18" s="28"/>
      <c r="K18" s="28"/>
      <c r="L18" s="28"/>
    </row>
    <row r="19" spans="1:12" ht="42.75" customHeight="1" x14ac:dyDescent="0.25">
      <c r="A19" s="446" t="s">
        <v>673</v>
      </c>
      <c r="B19" s="446"/>
      <c r="C19" s="446"/>
      <c r="D19" s="446"/>
      <c r="E19" s="446"/>
      <c r="F19" s="446"/>
      <c r="G19" s="446"/>
      <c r="H19" s="446"/>
      <c r="I19" s="446"/>
      <c r="J19" s="446"/>
      <c r="K19" s="446"/>
      <c r="L19" s="446"/>
    </row>
  </sheetData>
  <mergeCells count="9">
    <mergeCell ref="A2:L2"/>
    <mergeCell ref="A3:L3"/>
    <mergeCell ref="A19:L19"/>
    <mergeCell ref="A5:A6"/>
    <mergeCell ref="B5:B6"/>
    <mergeCell ref="C5:E5"/>
    <mergeCell ref="F5:H5"/>
    <mergeCell ref="I5:K5"/>
    <mergeCell ref="L5:L6"/>
  </mergeCells>
  <pageMargins left="0.7" right="0.7" top="0.75" bottom="0.75" header="0.3" footer="0.3"/>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rgb="FFFF0000"/>
  </sheetPr>
  <dimension ref="A1:L23"/>
  <sheetViews>
    <sheetView workbookViewId="0">
      <selection activeCell="L6" sqref="L6:L7"/>
    </sheetView>
  </sheetViews>
  <sheetFormatPr defaultRowHeight="15" x14ac:dyDescent="0.25"/>
  <cols>
    <col min="1" max="1" width="6.140625" customWidth="1"/>
    <col min="2" max="2" width="26.140625" customWidth="1"/>
  </cols>
  <sheetData>
    <row r="1" spans="1:12" ht="15.75" x14ac:dyDescent="0.25">
      <c r="L1" s="25" t="s">
        <v>630</v>
      </c>
    </row>
    <row r="2" spans="1:12" ht="15.75" x14ac:dyDescent="0.25">
      <c r="A2" s="448" t="s">
        <v>674</v>
      </c>
      <c r="B2" s="448"/>
      <c r="C2" s="448"/>
      <c r="D2" s="448"/>
      <c r="E2" s="448"/>
      <c r="F2" s="448"/>
      <c r="G2" s="448"/>
      <c r="H2" s="448"/>
      <c r="I2" s="448"/>
      <c r="J2" s="448"/>
      <c r="K2" s="448"/>
      <c r="L2" s="448"/>
    </row>
    <row r="3" spans="1:12" ht="15.75" x14ac:dyDescent="0.25">
      <c r="A3" s="448" t="s">
        <v>675</v>
      </c>
      <c r="B3" s="448"/>
      <c r="C3" s="448"/>
      <c r="D3" s="448"/>
      <c r="E3" s="448"/>
      <c r="F3" s="448"/>
      <c r="G3" s="448"/>
      <c r="H3" s="448"/>
      <c r="I3" s="448"/>
      <c r="J3" s="448"/>
      <c r="K3" s="448"/>
      <c r="L3" s="448"/>
    </row>
    <row r="4" spans="1:12" x14ac:dyDescent="0.25">
      <c r="A4" s="448" t="s">
        <v>458</v>
      </c>
      <c r="B4" s="542"/>
      <c r="C4" s="542"/>
      <c r="D4" s="542"/>
      <c r="E4" s="542"/>
      <c r="F4" s="542"/>
      <c r="G4" s="542"/>
      <c r="H4" s="542"/>
      <c r="I4" s="542"/>
      <c r="J4" s="542"/>
      <c r="K4" s="542"/>
      <c r="L4" s="542"/>
    </row>
    <row r="5" spans="1:12" ht="15.75" x14ac:dyDescent="0.25">
      <c r="L5" s="26" t="s">
        <v>56</v>
      </c>
    </row>
    <row r="6" spans="1:12" ht="15.75" x14ac:dyDescent="0.25">
      <c r="A6" s="449" t="s">
        <v>3</v>
      </c>
      <c r="B6" s="449" t="s">
        <v>468</v>
      </c>
      <c r="C6" s="449" t="s">
        <v>130</v>
      </c>
      <c r="D6" s="449"/>
      <c r="E6" s="449"/>
      <c r="F6" s="449" t="s">
        <v>676</v>
      </c>
      <c r="G6" s="449"/>
      <c r="H6" s="449"/>
      <c r="I6" s="449" t="s">
        <v>676</v>
      </c>
      <c r="J6" s="449"/>
      <c r="K6" s="449"/>
      <c r="L6" s="449" t="s">
        <v>600</v>
      </c>
    </row>
    <row r="7" spans="1:12" ht="63.75" customHeight="1" x14ac:dyDescent="0.25">
      <c r="A7" s="449"/>
      <c r="B7" s="449"/>
      <c r="C7" s="29" t="s">
        <v>130</v>
      </c>
      <c r="D7" s="29" t="s">
        <v>135</v>
      </c>
      <c r="E7" s="29" t="s">
        <v>643</v>
      </c>
      <c r="F7" s="29" t="s">
        <v>130</v>
      </c>
      <c r="G7" s="29" t="s">
        <v>135</v>
      </c>
      <c r="H7" s="29" t="s">
        <v>643</v>
      </c>
      <c r="I7" s="29" t="s">
        <v>130</v>
      </c>
      <c r="J7" s="29" t="s">
        <v>135</v>
      </c>
      <c r="K7" s="29" t="s">
        <v>643</v>
      </c>
      <c r="L7" s="449"/>
    </row>
    <row r="8" spans="1:12" ht="15.75" x14ac:dyDescent="0.25">
      <c r="A8" s="29" t="s">
        <v>15</v>
      </c>
      <c r="B8" s="29" t="s">
        <v>16</v>
      </c>
      <c r="C8" s="29" t="s">
        <v>489</v>
      </c>
      <c r="D8" s="29">
        <v>2</v>
      </c>
      <c r="E8" s="29">
        <v>3</v>
      </c>
      <c r="F8" s="29" t="s">
        <v>490</v>
      </c>
      <c r="G8" s="29">
        <v>5</v>
      </c>
      <c r="H8" s="29">
        <v>6</v>
      </c>
      <c r="I8" s="29" t="s">
        <v>672</v>
      </c>
      <c r="J8" s="29">
        <v>8</v>
      </c>
      <c r="K8" s="29">
        <v>9</v>
      </c>
      <c r="L8" s="29">
        <v>10</v>
      </c>
    </row>
    <row r="9" spans="1:12" ht="15.75" x14ac:dyDescent="0.25">
      <c r="A9" s="28"/>
      <c r="B9" s="30" t="s">
        <v>133</v>
      </c>
      <c r="C9" s="28"/>
      <c r="D9" s="28"/>
      <c r="E9" s="28"/>
      <c r="F9" s="28"/>
      <c r="G9" s="28"/>
      <c r="H9" s="28"/>
      <c r="I9" s="28"/>
      <c r="J9" s="28"/>
      <c r="K9" s="28"/>
      <c r="L9" s="28"/>
    </row>
    <row r="10" spans="1:12" ht="15.75" x14ac:dyDescent="0.25">
      <c r="A10" s="28">
        <v>1</v>
      </c>
      <c r="B10" s="31" t="s">
        <v>169</v>
      </c>
      <c r="C10" s="28"/>
      <c r="D10" s="28"/>
      <c r="E10" s="28"/>
      <c r="F10" s="28"/>
      <c r="G10" s="28"/>
      <c r="H10" s="28"/>
      <c r="I10" s="28"/>
      <c r="J10" s="28"/>
      <c r="K10" s="28"/>
      <c r="L10" s="28"/>
    </row>
    <row r="11" spans="1:12" ht="15.75" x14ac:dyDescent="0.25">
      <c r="A11" s="28">
        <v>2</v>
      </c>
      <c r="B11" s="31" t="s">
        <v>170</v>
      </c>
      <c r="C11" s="28"/>
      <c r="D11" s="28"/>
      <c r="E11" s="28"/>
      <c r="F11" s="28"/>
      <c r="G11" s="28"/>
      <c r="H11" s="28"/>
      <c r="I11" s="28"/>
      <c r="J11" s="28"/>
      <c r="K11" s="28"/>
      <c r="L11" s="28"/>
    </row>
    <row r="12" spans="1:12" ht="15.75" x14ac:dyDescent="0.25">
      <c r="A12" s="28">
        <v>3</v>
      </c>
      <c r="B12" s="31" t="s">
        <v>555</v>
      </c>
      <c r="C12" s="28"/>
      <c r="D12" s="28"/>
      <c r="E12" s="28"/>
      <c r="F12" s="28"/>
      <c r="G12" s="28"/>
      <c r="H12" s="28"/>
      <c r="I12" s="28"/>
      <c r="J12" s="28"/>
      <c r="K12" s="28"/>
      <c r="L12" s="28"/>
    </row>
    <row r="13" spans="1:12" ht="15.75" x14ac:dyDescent="0.25">
      <c r="A13" s="28">
        <v>4</v>
      </c>
      <c r="B13" s="31" t="s">
        <v>172</v>
      </c>
      <c r="C13" s="28"/>
      <c r="D13" s="28"/>
      <c r="E13" s="28"/>
      <c r="F13" s="28"/>
      <c r="G13" s="28"/>
      <c r="H13" s="28"/>
      <c r="I13" s="28"/>
      <c r="J13" s="28"/>
      <c r="K13" s="28"/>
      <c r="L13" s="28"/>
    </row>
    <row r="14" spans="1:12" ht="15.75" x14ac:dyDescent="0.25">
      <c r="A14" s="28">
        <v>5</v>
      </c>
      <c r="B14" s="31" t="s">
        <v>534</v>
      </c>
      <c r="C14" s="28"/>
      <c r="D14" s="28"/>
      <c r="E14" s="28"/>
      <c r="F14" s="28"/>
      <c r="G14" s="28"/>
      <c r="H14" s="28"/>
      <c r="I14" s="28"/>
      <c r="J14" s="28"/>
      <c r="K14" s="28"/>
      <c r="L14" s="28"/>
    </row>
    <row r="15" spans="1:12" ht="15.75" x14ac:dyDescent="0.25">
      <c r="A15" s="28">
        <v>6</v>
      </c>
      <c r="B15" s="31" t="s">
        <v>174</v>
      </c>
      <c r="C15" s="28"/>
      <c r="D15" s="28"/>
      <c r="E15" s="28"/>
      <c r="F15" s="28"/>
      <c r="G15" s="28"/>
      <c r="H15" s="28"/>
      <c r="I15" s="28"/>
      <c r="J15" s="28"/>
      <c r="K15" s="28"/>
      <c r="L15" s="28"/>
    </row>
    <row r="16" spans="1:12" ht="15.75" x14ac:dyDescent="0.25">
      <c r="A16" s="28">
        <v>7</v>
      </c>
      <c r="B16" s="31" t="s">
        <v>175</v>
      </c>
      <c r="C16" s="28"/>
      <c r="D16" s="28"/>
      <c r="E16" s="28"/>
      <c r="F16" s="28"/>
      <c r="G16" s="28"/>
      <c r="H16" s="28"/>
      <c r="I16" s="28"/>
      <c r="J16" s="28"/>
      <c r="K16" s="28"/>
      <c r="L16" s="28"/>
    </row>
    <row r="17" spans="1:12" ht="15.75" x14ac:dyDescent="0.25">
      <c r="A17" s="28">
        <v>8</v>
      </c>
      <c r="B17" s="31" t="s">
        <v>557</v>
      </c>
      <c r="C17" s="28"/>
      <c r="D17" s="28"/>
      <c r="E17" s="28"/>
      <c r="F17" s="28"/>
      <c r="G17" s="28"/>
      <c r="H17" s="28"/>
      <c r="I17" s="28"/>
      <c r="J17" s="28"/>
      <c r="K17" s="28"/>
      <c r="L17" s="28"/>
    </row>
    <row r="18" spans="1:12" ht="15.75" x14ac:dyDescent="0.25">
      <c r="A18" s="28">
        <v>9</v>
      </c>
      <c r="B18" s="31" t="s">
        <v>177</v>
      </c>
      <c r="C18" s="28"/>
      <c r="D18" s="28"/>
      <c r="E18" s="28"/>
      <c r="F18" s="28"/>
      <c r="G18" s="28"/>
      <c r="H18" s="28"/>
      <c r="I18" s="28"/>
      <c r="J18" s="28"/>
      <c r="K18" s="28"/>
      <c r="L18" s="28"/>
    </row>
    <row r="19" spans="1:12" ht="15.75" x14ac:dyDescent="0.25">
      <c r="A19" s="28">
        <v>10</v>
      </c>
      <c r="B19" s="31"/>
      <c r="C19" s="28"/>
      <c r="D19" s="28"/>
      <c r="E19" s="28"/>
      <c r="F19" s="28"/>
      <c r="G19" s="28"/>
      <c r="H19" s="28"/>
      <c r="I19" s="28" t="s">
        <v>677</v>
      </c>
      <c r="J19" s="28"/>
      <c r="K19" s="28"/>
      <c r="L19" s="28"/>
    </row>
    <row r="20" spans="1:12" ht="15.75" x14ac:dyDescent="0.25">
      <c r="A20" s="28">
        <v>11</v>
      </c>
      <c r="B20" s="31"/>
      <c r="C20" s="28"/>
      <c r="D20" s="28"/>
      <c r="E20" s="28"/>
      <c r="F20" s="28"/>
      <c r="G20" s="28"/>
      <c r="H20" s="28"/>
      <c r="I20" s="28"/>
      <c r="J20" s="28"/>
      <c r="K20" s="28"/>
      <c r="L20" s="28"/>
    </row>
    <row r="21" spans="1:12" ht="15.75" x14ac:dyDescent="0.25">
      <c r="A21" s="28">
        <v>12</v>
      </c>
      <c r="B21" s="31"/>
      <c r="C21" s="28"/>
      <c r="D21" s="28"/>
      <c r="E21" s="28"/>
      <c r="F21" s="28"/>
      <c r="G21" s="28"/>
      <c r="H21" s="28"/>
      <c r="I21" s="28"/>
      <c r="J21" s="28"/>
      <c r="K21" s="28"/>
      <c r="L21" s="28"/>
    </row>
    <row r="22" spans="1:12" ht="39.75" customHeight="1" x14ac:dyDescent="0.25">
      <c r="A22" s="543" t="s">
        <v>678</v>
      </c>
      <c r="B22" s="543"/>
      <c r="C22" s="543"/>
      <c r="D22" s="543"/>
      <c r="E22" s="543"/>
      <c r="F22" s="543"/>
      <c r="G22" s="543"/>
      <c r="H22" s="543"/>
      <c r="I22" s="543"/>
      <c r="J22" s="543"/>
      <c r="K22" s="543"/>
      <c r="L22" s="543"/>
    </row>
    <row r="23" spans="1:12" ht="15.75" x14ac:dyDescent="0.25">
      <c r="A23" s="35"/>
    </row>
  </sheetData>
  <mergeCells count="10">
    <mergeCell ref="A2:L2"/>
    <mergeCell ref="A3:L3"/>
    <mergeCell ref="A4:L4"/>
    <mergeCell ref="A22:L22"/>
    <mergeCell ref="A6:A7"/>
    <mergeCell ref="B6:B7"/>
    <mergeCell ref="C6:E6"/>
    <mergeCell ref="F6:H6"/>
    <mergeCell ref="I6:K6"/>
    <mergeCell ref="L6:L7"/>
  </mergeCells>
  <pageMargins left="0.7" right="0.7" top="0.75" bottom="0.75" header="0.3" footer="0.3"/>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0000"/>
  </sheetPr>
  <dimension ref="A1:M20"/>
  <sheetViews>
    <sheetView workbookViewId="0">
      <selection activeCell="L6" sqref="L6:L7"/>
    </sheetView>
  </sheetViews>
  <sheetFormatPr defaultRowHeight="15" x14ac:dyDescent="0.25"/>
  <cols>
    <col min="1" max="1" width="6.140625" customWidth="1"/>
    <col min="2" max="2" width="14.7109375" customWidth="1"/>
    <col min="3" max="13" width="10.28515625" customWidth="1"/>
  </cols>
  <sheetData>
    <row r="1" spans="1:13" ht="15.75" x14ac:dyDescent="0.25">
      <c r="M1" s="25" t="s">
        <v>631</v>
      </c>
    </row>
    <row r="2" spans="1:13" ht="24" customHeight="1" x14ac:dyDescent="0.25">
      <c r="A2" s="448" t="s">
        <v>679</v>
      </c>
      <c r="B2" s="448"/>
      <c r="C2" s="448"/>
      <c r="D2" s="448"/>
      <c r="E2" s="448"/>
      <c r="F2" s="448"/>
      <c r="G2" s="448"/>
      <c r="H2" s="448"/>
      <c r="I2" s="448"/>
      <c r="J2" s="448"/>
      <c r="K2" s="448"/>
      <c r="L2" s="448"/>
      <c r="M2" s="448"/>
    </row>
    <row r="3" spans="1:13" ht="15.75" x14ac:dyDescent="0.25">
      <c r="A3" s="414" t="s">
        <v>126</v>
      </c>
      <c r="B3" s="414"/>
      <c r="C3" s="414"/>
      <c r="D3" s="414"/>
      <c r="E3" s="414"/>
      <c r="F3" s="414"/>
      <c r="G3" s="414"/>
      <c r="H3" s="414"/>
      <c r="I3" s="414"/>
      <c r="J3" s="414"/>
      <c r="K3" s="414"/>
      <c r="L3" s="414"/>
      <c r="M3" s="414"/>
    </row>
    <row r="4" spans="1:13" ht="15.75" x14ac:dyDescent="0.25">
      <c r="M4" s="26" t="s">
        <v>56</v>
      </c>
    </row>
    <row r="5" spans="1:13" ht="15.75" x14ac:dyDescent="0.25">
      <c r="A5" s="449" t="s">
        <v>3</v>
      </c>
      <c r="B5" s="449" t="s">
        <v>562</v>
      </c>
      <c r="C5" s="449" t="s">
        <v>680</v>
      </c>
      <c r="D5" s="449" t="s">
        <v>357</v>
      </c>
      <c r="E5" s="449"/>
      <c r="F5" s="449"/>
      <c r="G5" s="449"/>
      <c r="H5" s="449" t="s">
        <v>681</v>
      </c>
      <c r="I5" s="449" t="s">
        <v>682</v>
      </c>
      <c r="J5" s="449"/>
      <c r="K5" s="449"/>
      <c r="L5" s="449"/>
      <c r="M5" s="449" t="s">
        <v>683</v>
      </c>
    </row>
    <row r="6" spans="1:13" ht="47.25" customHeight="1" x14ac:dyDescent="0.25">
      <c r="A6" s="449"/>
      <c r="B6" s="449"/>
      <c r="C6" s="449"/>
      <c r="D6" s="449" t="s">
        <v>566</v>
      </c>
      <c r="E6" s="449"/>
      <c r="F6" s="449" t="s">
        <v>567</v>
      </c>
      <c r="G6" s="449" t="s">
        <v>568</v>
      </c>
      <c r="H6" s="449"/>
      <c r="I6" s="449" t="s">
        <v>566</v>
      </c>
      <c r="J6" s="449"/>
      <c r="K6" s="449" t="s">
        <v>567</v>
      </c>
      <c r="L6" s="449" t="s">
        <v>568</v>
      </c>
      <c r="M6" s="449"/>
    </row>
    <row r="7" spans="1:13" ht="63" x14ac:dyDescent="0.25">
      <c r="A7" s="449"/>
      <c r="B7" s="449"/>
      <c r="C7" s="449"/>
      <c r="D7" s="29" t="s">
        <v>130</v>
      </c>
      <c r="E7" s="29" t="s">
        <v>569</v>
      </c>
      <c r="F7" s="449"/>
      <c r="G7" s="449"/>
      <c r="H7" s="449"/>
      <c r="I7" s="29" t="s">
        <v>130</v>
      </c>
      <c r="J7" s="29" t="s">
        <v>684</v>
      </c>
      <c r="K7" s="449"/>
      <c r="L7" s="449"/>
      <c r="M7" s="449"/>
    </row>
    <row r="8" spans="1:13" ht="15.75" x14ac:dyDescent="0.25">
      <c r="A8" s="29" t="s">
        <v>15</v>
      </c>
      <c r="B8" s="29" t="s">
        <v>16</v>
      </c>
      <c r="C8" s="29">
        <v>1</v>
      </c>
      <c r="D8" s="29">
        <v>2</v>
      </c>
      <c r="E8" s="29">
        <v>3</v>
      </c>
      <c r="F8" s="29">
        <v>4</v>
      </c>
      <c r="G8" s="29" t="s">
        <v>685</v>
      </c>
      <c r="H8" s="29" t="s">
        <v>686</v>
      </c>
      <c r="I8" s="29">
        <v>7</v>
      </c>
      <c r="J8" s="29">
        <v>8</v>
      </c>
      <c r="K8" s="29">
        <v>9</v>
      </c>
      <c r="L8" s="29" t="s">
        <v>687</v>
      </c>
      <c r="M8" s="29" t="s">
        <v>688</v>
      </c>
    </row>
    <row r="9" spans="1:13" ht="15.75" x14ac:dyDescent="0.25">
      <c r="A9" s="28">
        <v>1</v>
      </c>
      <c r="B9" s="31" t="s">
        <v>573</v>
      </c>
      <c r="C9" s="41"/>
      <c r="D9" s="41"/>
      <c r="E9" s="41"/>
      <c r="F9" s="41"/>
      <c r="G9" s="41"/>
      <c r="H9" s="41"/>
      <c r="I9" s="41"/>
      <c r="J9" s="41"/>
      <c r="K9" s="41"/>
      <c r="L9" s="41"/>
      <c r="M9" s="41"/>
    </row>
    <row r="10" spans="1:13" ht="15.75" x14ac:dyDescent="0.25">
      <c r="A10" s="28">
        <v>2</v>
      </c>
      <c r="B10" s="31" t="s">
        <v>574</v>
      </c>
      <c r="C10" s="41"/>
      <c r="D10" s="41"/>
      <c r="E10" s="41"/>
      <c r="F10" s="41"/>
      <c r="G10" s="41"/>
      <c r="H10" s="41"/>
      <c r="I10" s="41"/>
      <c r="J10" s="41"/>
      <c r="K10" s="41"/>
      <c r="L10" s="41"/>
      <c r="M10" s="41"/>
    </row>
    <row r="11" spans="1:13" ht="15.75" x14ac:dyDescent="0.25">
      <c r="A11" s="28">
        <v>3</v>
      </c>
      <c r="B11" s="31" t="s">
        <v>575</v>
      </c>
      <c r="C11" s="41"/>
      <c r="D11" s="41"/>
      <c r="E11" s="41"/>
      <c r="F11" s="41"/>
      <c r="G11" s="41"/>
      <c r="H11" s="41"/>
      <c r="I11" s="41"/>
      <c r="J11" s="41"/>
      <c r="K11" s="41"/>
      <c r="L11" s="41"/>
      <c r="M11" s="41"/>
    </row>
    <row r="12" spans="1:13" ht="15.75" x14ac:dyDescent="0.25">
      <c r="A12" s="28">
        <v>4</v>
      </c>
      <c r="B12" s="31" t="s">
        <v>478</v>
      </c>
      <c r="C12" s="41"/>
      <c r="D12" s="41"/>
      <c r="E12" s="41"/>
      <c r="F12" s="41"/>
      <c r="G12" s="41"/>
      <c r="H12" s="41"/>
      <c r="I12" s="41"/>
      <c r="J12" s="41"/>
      <c r="K12" s="41"/>
      <c r="L12" s="41"/>
      <c r="M12" s="41"/>
    </row>
    <row r="13" spans="1:13" ht="15.75" x14ac:dyDescent="0.25">
      <c r="A13" s="28">
        <v>5</v>
      </c>
      <c r="B13" s="37"/>
      <c r="C13" s="41"/>
      <c r="D13" s="41"/>
      <c r="E13" s="41"/>
      <c r="F13" s="41"/>
      <c r="G13" s="41"/>
      <c r="H13" s="41"/>
      <c r="I13" s="41"/>
      <c r="J13" s="41"/>
      <c r="K13" s="41"/>
      <c r="L13" s="41"/>
      <c r="M13" s="41"/>
    </row>
    <row r="14" spans="1:13" ht="15.75" x14ac:dyDescent="0.25">
      <c r="A14" s="28">
        <v>6</v>
      </c>
      <c r="B14" s="37"/>
      <c r="C14" s="41"/>
      <c r="D14" s="41"/>
      <c r="E14" s="41"/>
      <c r="F14" s="41"/>
      <c r="G14" s="41"/>
      <c r="H14" s="41"/>
      <c r="I14" s="41"/>
      <c r="J14" s="41"/>
      <c r="K14" s="41"/>
      <c r="L14" s="41"/>
      <c r="M14" s="41"/>
    </row>
    <row r="15" spans="1:13" ht="15.75" x14ac:dyDescent="0.25">
      <c r="A15" s="28">
        <v>7</v>
      </c>
      <c r="B15" s="37"/>
      <c r="C15" s="41"/>
      <c r="D15" s="41"/>
      <c r="E15" s="41"/>
      <c r="F15" s="41"/>
      <c r="G15" s="41"/>
      <c r="H15" s="41"/>
      <c r="I15" s="41"/>
      <c r="J15" s="41"/>
      <c r="K15" s="41"/>
      <c r="L15" s="41"/>
      <c r="M15" s="41"/>
    </row>
    <row r="16" spans="1:13" ht="15.75" x14ac:dyDescent="0.25">
      <c r="A16" s="28">
        <v>8</v>
      </c>
      <c r="B16" s="37"/>
      <c r="C16" s="41"/>
      <c r="D16" s="41"/>
      <c r="E16" s="41"/>
      <c r="F16" s="41"/>
      <c r="G16" s="41"/>
      <c r="H16" s="41"/>
      <c r="I16" s="41"/>
      <c r="J16" s="41"/>
      <c r="K16" s="41"/>
      <c r="L16" s="41"/>
      <c r="M16" s="41"/>
    </row>
    <row r="17" spans="1:13" ht="15.75" x14ac:dyDescent="0.25">
      <c r="A17" s="28">
        <v>9</v>
      </c>
      <c r="B17" s="37"/>
      <c r="C17" s="41"/>
      <c r="D17" s="41"/>
      <c r="E17" s="41"/>
      <c r="F17" s="41"/>
      <c r="G17" s="41"/>
      <c r="H17" s="41"/>
      <c r="I17" s="41"/>
      <c r="J17" s="41"/>
      <c r="K17" s="41"/>
      <c r="L17" s="41"/>
      <c r="M17" s="41"/>
    </row>
    <row r="18" spans="1:13" ht="15.75" x14ac:dyDescent="0.25">
      <c r="A18" s="28">
        <v>10</v>
      </c>
      <c r="B18" s="37"/>
      <c r="C18" s="41"/>
      <c r="D18" s="41"/>
      <c r="E18" s="41"/>
      <c r="F18" s="41"/>
      <c r="G18" s="41"/>
      <c r="H18" s="41"/>
      <c r="I18" s="41"/>
      <c r="J18" s="41"/>
      <c r="K18" s="41"/>
      <c r="L18" s="41"/>
      <c r="M18" s="41"/>
    </row>
    <row r="19" spans="1:13" ht="15.75" x14ac:dyDescent="0.25">
      <c r="A19" s="28">
        <v>11</v>
      </c>
      <c r="B19" s="37"/>
      <c r="C19" s="41"/>
      <c r="D19" s="41"/>
      <c r="E19" s="41"/>
      <c r="F19" s="41"/>
      <c r="G19" s="41"/>
      <c r="H19" s="41"/>
      <c r="I19" s="41"/>
      <c r="J19" s="41"/>
      <c r="K19" s="41"/>
      <c r="L19" s="41"/>
      <c r="M19" s="41"/>
    </row>
    <row r="20" spans="1:13" ht="15.75" x14ac:dyDescent="0.25">
      <c r="A20" s="28">
        <v>15</v>
      </c>
      <c r="B20" s="37"/>
      <c r="C20" s="41"/>
      <c r="D20" s="41"/>
      <c r="E20" s="41"/>
      <c r="F20" s="41"/>
      <c r="G20" s="41"/>
      <c r="H20" s="41"/>
      <c r="I20" s="41"/>
      <c r="J20" s="41"/>
      <c r="K20" s="41"/>
      <c r="L20" s="41"/>
      <c r="M20" s="41"/>
    </row>
  </sheetData>
  <mergeCells count="15">
    <mergeCell ref="A2:M2"/>
    <mergeCell ref="A3:M3"/>
    <mergeCell ref="M5:M7"/>
    <mergeCell ref="D6:E6"/>
    <mergeCell ref="F6:F7"/>
    <mergeCell ref="G6:G7"/>
    <mergeCell ref="I6:J6"/>
    <mergeCell ref="K6:K7"/>
    <mergeCell ref="L6:L7"/>
    <mergeCell ref="A5:A7"/>
    <mergeCell ref="B5:B7"/>
    <mergeCell ref="C5:C7"/>
    <mergeCell ref="D5:G5"/>
    <mergeCell ref="H5:H7"/>
    <mergeCell ref="I5:L5"/>
  </mergeCells>
  <pageMargins left="0.7" right="0.7" top="0.75" bottom="0.75" header="0.3" footer="0.3"/>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FF0000"/>
  </sheetPr>
  <dimension ref="A1:E20"/>
  <sheetViews>
    <sheetView workbookViewId="0">
      <selection activeCell="L12" sqref="L12"/>
    </sheetView>
  </sheetViews>
  <sheetFormatPr defaultRowHeight="15" x14ac:dyDescent="0.25"/>
  <cols>
    <col min="1" max="1" width="5.85546875" customWidth="1"/>
    <col min="2" max="2" width="39.7109375" customWidth="1"/>
    <col min="3" max="5" width="12.28515625" customWidth="1"/>
  </cols>
  <sheetData>
    <row r="1" spans="1:5" ht="15.75" x14ac:dyDescent="0.25">
      <c r="E1" s="25" t="s">
        <v>633</v>
      </c>
    </row>
    <row r="2" spans="1:5" ht="15.75" x14ac:dyDescent="0.25">
      <c r="A2" s="448" t="s">
        <v>694</v>
      </c>
      <c r="B2" s="448"/>
      <c r="C2" s="448"/>
      <c r="D2" s="448"/>
      <c r="E2" s="448"/>
    </row>
    <row r="3" spans="1:5" ht="15.75" x14ac:dyDescent="0.25">
      <c r="A3" s="448" t="s">
        <v>578</v>
      </c>
      <c r="B3" s="448"/>
      <c r="C3" s="448"/>
      <c r="D3" s="448"/>
      <c r="E3" s="448"/>
    </row>
    <row r="4" spans="1:5" ht="15.75" x14ac:dyDescent="0.25">
      <c r="A4" s="448" t="s">
        <v>126</v>
      </c>
      <c r="B4" s="448"/>
      <c r="C4" s="448"/>
      <c r="D4" s="448"/>
      <c r="E4" s="448"/>
    </row>
    <row r="5" spans="1:5" ht="15.75" x14ac:dyDescent="0.25">
      <c r="E5" s="26" t="s">
        <v>56</v>
      </c>
    </row>
    <row r="6" spans="1:5" ht="48" customHeight="1" x14ac:dyDescent="0.25">
      <c r="A6" s="29" t="s">
        <v>3</v>
      </c>
      <c r="B6" s="29" t="s">
        <v>4</v>
      </c>
      <c r="C6" s="29" t="s">
        <v>564</v>
      </c>
      <c r="D6" s="29" t="s">
        <v>357</v>
      </c>
      <c r="E6" s="29" t="s">
        <v>366</v>
      </c>
    </row>
    <row r="7" spans="1:5" ht="15.75" x14ac:dyDescent="0.25">
      <c r="A7" s="28" t="s">
        <v>15</v>
      </c>
      <c r="B7" s="28" t="s">
        <v>16</v>
      </c>
      <c r="C7" s="28">
        <v>1</v>
      </c>
      <c r="D7" s="28">
        <v>2</v>
      </c>
      <c r="E7" s="28" t="s">
        <v>269</v>
      </c>
    </row>
    <row r="8" spans="1:5" ht="15.75" x14ac:dyDescent="0.25">
      <c r="A8" s="29"/>
      <c r="B8" s="30" t="s">
        <v>133</v>
      </c>
      <c r="C8" s="28"/>
      <c r="D8" s="28"/>
      <c r="E8" s="28"/>
    </row>
    <row r="9" spans="1:5" ht="21.75" customHeight="1" x14ac:dyDescent="0.25">
      <c r="A9" s="28">
        <v>1</v>
      </c>
      <c r="B9" s="31" t="s">
        <v>579</v>
      </c>
      <c r="C9" s="28"/>
      <c r="D9" s="28"/>
      <c r="E9" s="28"/>
    </row>
    <row r="10" spans="1:5" ht="21.75" customHeight="1" x14ac:dyDescent="0.25">
      <c r="A10" s="28" t="s">
        <v>22</v>
      </c>
      <c r="B10" s="32" t="s">
        <v>580</v>
      </c>
      <c r="C10" s="28"/>
      <c r="D10" s="28"/>
      <c r="E10" s="28"/>
    </row>
    <row r="11" spans="1:5" ht="21.75" customHeight="1" x14ac:dyDescent="0.25">
      <c r="A11" s="28" t="s">
        <v>22</v>
      </c>
      <c r="B11" s="32" t="s">
        <v>581</v>
      </c>
      <c r="C11" s="28"/>
      <c r="D11" s="28"/>
      <c r="E11" s="28"/>
    </row>
    <row r="12" spans="1:5" ht="21.75" customHeight="1" x14ac:dyDescent="0.25">
      <c r="A12" s="28">
        <v>2</v>
      </c>
      <c r="B12" s="31" t="s">
        <v>582</v>
      </c>
      <c r="C12" s="28"/>
      <c r="D12" s="28"/>
      <c r="E12" s="28"/>
    </row>
    <row r="13" spans="1:5" ht="21.75" customHeight="1" x14ac:dyDescent="0.25">
      <c r="A13" s="28">
        <v>3</v>
      </c>
      <c r="B13" s="31" t="s">
        <v>583</v>
      </c>
      <c r="C13" s="28"/>
      <c r="D13" s="28"/>
      <c r="E13" s="28"/>
    </row>
    <row r="14" spans="1:5" ht="21.75" customHeight="1" x14ac:dyDescent="0.25">
      <c r="A14" s="28">
        <v>4</v>
      </c>
      <c r="B14" s="31" t="s">
        <v>584</v>
      </c>
      <c r="C14" s="28"/>
      <c r="D14" s="28"/>
      <c r="E14" s="28"/>
    </row>
    <row r="15" spans="1:5" ht="21.75" customHeight="1" x14ac:dyDescent="0.25">
      <c r="A15" s="28">
        <v>5</v>
      </c>
      <c r="B15" s="31" t="s">
        <v>585</v>
      </c>
      <c r="C15" s="28"/>
      <c r="D15" s="28"/>
      <c r="E15" s="28"/>
    </row>
    <row r="16" spans="1:5" ht="21.75" customHeight="1" x14ac:dyDescent="0.25">
      <c r="A16" s="28">
        <v>6</v>
      </c>
      <c r="B16" s="31" t="s">
        <v>586</v>
      </c>
      <c r="C16" s="28"/>
      <c r="D16" s="28"/>
      <c r="E16" s="28"/>
    </row>
    <row r="17" spans="1:5" ht="21.75" customHeight="1" x14ac:dyDescent="0.25">
      <c r="A17" s="28">
        <v>7</v>
      </c>
      <c r="B17" s="31" t="s">
        <v>587</v>
      </c>
      <c r="C17" s="28"/>
      <c r="D17" s="28"/>
      <c r="E17" s="28"/>
    </row>
    <row r="18" spans="1:5" ht="21.75" customHeight="1" x14ac:dyDescent="0.25">
      <c r="A18" s="28">
        <v>8</v>
      </c>
      <c r="B18" s="31"/>
      <c r="C18" s="28"/>
      <c r="D18" s="28"/>
      <c r="E18" s="28"/>
    </row>
    <row r="19" spans="1:5" ht="21.75" customHeight="1" x14ac:dyDescent="0.25">
      <c r="A19" s="28">
        <v>9</v>
      </c>
      <c r="B19" s="31"/>
      <c r="C19" s="28"/>
      <c r="D19" s="28"/>
      <c r="E19" s="28"/>
    </row>
    <row r="20" spans="1:5" ht="21.75" customHeight="1" x14ac:dyDescent="0.25">
      <c r="A20" s="28">
        <v>10</v>
      </c>
      <c r="B20" s="31"/>
      <c r="C20" s="28"/>
      <c r="D20" s="28"/>
      <c r="E20" s="28"/>
    </row>
  </sheetData>
  <mergeCells count="3">
    <mergeCell ref="A2:E2"/>
    <mergeCell ref="A3:E3"/>
    <mergeCell ref="A4:E4"/>
  </mergeCells>
  <pageMargins left="0.7" right="0.7" top="0.75" bottom="0.75" header="0.3" footer="0.3"/>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Y40"/>
  <sheetViews>
    <sheetView topLeftCell="A18" workbookViewId="0">
      <selection activeCell="I26" sqref="I26"/>
    </sheetView>
  </sheetViews>
  <sheetFormatPr defaultColWidth="8.85546875" defaultRowHeight="15.75" x14ac:dyDescent="0.25"/>
  <cols>
    <col min="1" max="1" width="6.42578125" style="131" customWidth="1"/>
    <col min="2" max="2" width="61.42578125" style="100" customWidth="1"/>
    <col min="3" max="3" width="15.42578125" style="100" hidden="1" customWidth="1"/>
    <col min="4" max="4" width="10.85546875" style="100" hidden="1" customWidth="1"/>
    <col min="5" max="5" width="7.85546875" style="100" hidden="1" customWidth="1"/>
    <col min="6" max="6" width="14.42578125" style="100" customWidth="1"/>
    <col min="7" max="7" width="14.7109375" style="100" customWidth="1"/>
    <col min="8" max="8" width="15.140625" style="100" customWidth="1"/>
    <col min="9" max="9" width="13.5703125" style="100" customWidth="1"/>
    <col min="10" max="10" width="11" style="109" hidden="1" customWidth="1"/>
    <col min="11" max="11" width="13" style="100" hidden="1" customWidth="1"/>
    <col min="12" max="12" width="13" style="109" hidden="1" customWidth="1"/>
    <col min="13" max="13" width="11.42578125" style="100" hidden="1" customWidth="1"/>
    <col min="14" max="14" width="12.28515625" style="100" customWidth="1"/>
    <col min="15" max="15" width="12.140625" style="100" customWidth="1"/>
    <col min="16" max="16" width="10" style="100" hidden="1" customWidth="1"/>
    <col min="17" max="17" width="8.7109375" style="100" hidden="1" customWidth="1"/>
    <col min="18" max="18" width="12" style="100" customWidth="1"/>
    <col min="19" max="19" width="12.42578125" style="100" customWidth="1"/>
    <col min="20" max="20" width="11.5703125" style="100" customWidth="1"/>
    <col min="21" max="21" width="11.85546875" style="100" customWidth="1"/>
    <col min="22" max="22" width="26" style="132" hidden="1" customWidth="1"/>
    <col min="23" max="23" width="12.28515625" style="100" bestFit="1" customWidth="1"/>
    <col min="24" max="24" width="13.5703125" style="100" bestFit="1" customWidth="1"/>
    <col min="25" max="25" width="13.7109375" style="100" bestFit="1" customWidth="1"/>
    <col min="26" max="26" width="9.28515625" style="100" bestFit="1" customWidth="1"/>
    <col min="27" max="28" width="9.140625" style="100" bestFit="1" customWidth="1"/>
    <col min="29" max="34" width="8.85546875" style="100"/>
    <col min="35" max="36" width="9.140625" style="100" bestFit="1" customWidth="1"/>
    <col min="37" max="256" width="8.85546875" style="100"/>
    <col min="257" max="257" width="6.42578125" style="100" customWidth="1"/>
    <col min="258" max="258" width="61.42578125" style="100" customWidth="1"/>
    <col min="259" max="261" width="0" style="100" hidden="1" customWidth="1"/>
    <col min="262" max="262" width="14.42578125" style="100" customWidth="1"/>
    <col min="263" max="263" width="14.7109375" style="100" customWidth="1"/>
    <col min="264" max="264" width="15.140625" style="100" customWidth="1"/>
    <col min="265" max="265" width="13.5703125" style="100" customWidth="1"/>
    <col min="266" max="269" width="0" style="100" hidden="1" customWidth="1"/>
    <col min="270" max="270" width="12.28515625" style="100" customWidth="1"/>
    <col min="271" max="271" width="12.140625" style="100" customWidth="1"/>
    <col min="272" max="273" width="0" style="100" hidden="1" customWidth="1"/>
    <col min="274" max="274" width="12" style="100" customWidth="1"/>
    <col min="275" max="275" width="12.42578125" style="100" customWidth="1"/>
    <col min="276" max="276" width="11.5703125" style="100" customWidth="1"/>
    <col min="277" max="277" width="11.85546875" style="100" customWidth="1"/>
    <col min="278" max="278" width="0" style="100" hidden="1" customWidth="1"/>
    <col min="279" max="279" width="12.28515625" style="100" bestFit="1" customWidth="1"/>
    <col min="280" max="280" width="13.5703125" style="100" bestFit="1" customWidth="1"/>
    <col min="281" max="281" width="13.7109375" style="100" bestFit="1" customWidth="1"/>
    <col min="282" max="282" width="9.28515625" style="100" bestFit="1" customWidth="1"/>
    <col min="283" max="284" width="9.140625" style="100" bestFit="1" customWidth="1"/>
    <col min="285" max="290" width="8.85546875" style="100"/>
    <col min="291" max="292" width="9.140625" style="100" bestFit="1" customWidth="1"/>
    <col min="293" max="512" width="8.85546875" style="100"/>
    <col min="513" max="513" width="6.42578125" style="100" customWidth="1"/>
    <col min="514" max="514" width="61.42578125" style="100" customWidth="1"/>
    <col min="515" max="517" width="0" style="100" hidden="1" customWidth="1"/>
    <col min="518" max="518" width="14.42578125" style="100" customWidth="1"/>
    <col min="519" max="519" width="14.7109375" style="100" customWidth="1"/>
    <col min="520" max="520" width="15.140625" style="100" customWidth="1"/>
    <col min="521" max="521" width="13.5703125" style="100" customWidth="1"/>
    <col min="522" max="525" width="0" style="100" hidden="1" customWidth="1"/>
    <col min="526" max="526" width="12.28515625" style="100" customWidth="1"/>
    <col min="527" max="527" width="12.140625" style="100" customWidth="1"/>
    <col min="528" max="529" width="0" style="100" hidden="1" customWidth="1"/>
    <col min="530" max="530" width="12" style="100" customWidth="1"/>
    <col min="531" max="531" width="12.42578125" style="100" customWidth="1"/>
    <col min="532" max="532" width="11.5703125" style="100" customWidth="1"/>
    <col min="533" max="533" width="11.85546875" style="100" customWidth="1"/>
    <col min="534" max="534" width="0" style="100" hidden="1" customWidth="1"/>
    <col min="535" max="535" width="12.28515625" style="100" bestFit="1" customWidth="1"/>
    <col min="536" max="536" width="13.5703125" style="100" bestFit="1" customWidth="1"/>
    <col min="537" max="537" width="13.7109375" style="100" bestFit="1" customWidth="1"/>
    <col min="538" max="538" width="9.28515625" style="100" bestFit="1" customWidth="1"/>
    <col min="539" max="540" width="9.140625" style="100" bestFit="1" customWidth="1"/>
    <col min="541" max="546" width="8.85546875" style="100"/>
    <col min="547" max="548" width="9.140625" style="100" bestFit="1" customWidth="1"/>
    <col min="549" max="768" width="8.85546875" style="100"/>
    <col min="769" max="769" width="6.42578125" style="100" customWidth="1"/>
    <col min="770" max="770" width="61.42578125" style="100" customWidth="1"/>
    <col min="771" max="773" width="0" style="100" hidden="1" customWidth="1"/>
    <col min="774" max="774" width="14.42578125" style="100" customWidth="1"/>
    <col min="775" max="775" width="14.7109375" style="100" customWidth="1"/>
    <col min="776" max="776" width="15.140625" style="100" customWidth="1"/>
    <col min="777" max="777" width="13.5703125" style="100" customWidth="1"/>
    <col min="778" max="781" width="0" style="100" hidden="1" customWidth="1"/>
    <col min="782" max="782" width="12.28515625" style="100" customWidth="1"/>
    <col min="783" max="783" width="12.140625" style="100" customWidth="1"/>
    <col min="784" max="785" width="0" style="100" hidden="1" customWidth="1"/>
    <col min="786" max="786" width="12" style="100" customWidth="1"/>
    <col min="787" max="787" width="12.42578125" style="100" customWidth="1"/>
    <col min="788" max="788" width="11.5703125" style="100" customWidth="1"/>
    <col min="789" max="789" width="11.85546875" style="100" customWidth="1"/>
    <col min="790" max="790" width="0" style="100" hidden="1" customWidth="1"/>
    <col min="791" max="791" width="12.28515625" style="100" bestFit="1" customWidth="1"/>
    <col min="792" max="792" width="13.5703125" style="100" bestFit="1" customWidth="1"/>
    <col min="793" max="793" width="13.7109375" style="100" bestFit="1" customWidth="1"/>
    <col min="794" max="794" width="9.28515625" style="100" bestFit="1" customWidth="1"/>
    <col min="795" max="796" width="9.140625" style="100" bestFit="1" customWidth="1"/>
    <col min="797" max="802" width="8.85546875" style="100"/>
    <col min="803" max="804" width="9.140625" style="100" bestFit="1" customWidth="1"/>
    <col min="805" max="1024" width="8.85546875" style="100"/>
    <col min="1025" max="1025" width="6.42578125" style="100" customWidth="1"/>
    <col min="1026" max="1026" width="61.42578125" style="100" customWidth="1"/>
    <col min="1027" max="1029" width="0" style="100" hidden="1" customWidth="1"/>
    <col min="1030" max="1030" width="14.42578125" style="100" customWidth="1"/>
    <col min="1031" max="1031" width="14.7109375" style="100" customWidth="1"/>
    <col min="1032" max="1032" width="15.140625" style="100" customWidth="1"/>
    <col min="1033" max="1033" width="13.5703125" style="100" customWidth="1"/>
    <col min="1034" max="1037" width="0" style="100" hidden="1" customWidth="1"/>
    <col min="1038" max="1038" width="12.28515625" style="100" customWidth="1"/>
    <col min="1039" max="1039" width="12.140625" style="100" customWidth="1"/>
    <col min="1040" max="1041" width="0" style="100" hidden="1" customWidth="1"/>
    <col min="1042" max="1042" width="12" style="100" customWidth="1"/>
    <col min="1043" max="1043" width="12.42578125" style="100" customWidth="1"/>
    <col min="1044" max="1044" width="11.5703125" style="100" customWidth="1"/>
    <col min="1045" max="1045" width="11.85546875" style="100" customWidth="1"/>
    <col min="1046" max="1046" width="0" style="100" hidden="1" customWidth="1"/>
    <col min="1047" max="1047" width="12.28515625" style="100" bestFit="1" customWidth="1"/>
    <col min="1048" max="1048" width="13.5703125" style="100" bestFit="1" customWidth="1"/>
    <col min="1049" max="1049" width="13.7109375" style="100" bestFit="1" customWidth="1"/>
    <col min="1050" max="1050" width="9.28515625" style="100" bestFit="1" customWidth="1"/>
    <col min="1051" max="1052" width="9.140625" style="100" bestFit="1" customWidth="1"/>
    <col min="1053" max="1058" width="8.85546875" style="100"/>
    <col min="1059" max="1060" width="9.140625" style="100" bestFit="1" customWidth="1"/>
    <col min="1061" max="1280" width="8.85546875" style="100"/>
    <col min="1281" max="1281" width="6.42578125" style="100" customWidth="1"/>
    <col min="1282" max="1282" width="61.42578125" style="100" customWidth="1"/>
    <col min="1283" max="1285" width="0" style="100" hidden="1" customWidth="1"/>
    <col min="1286" max="1286" width="14.42578125" style="100" customWidth="1"/>
    <col min="1287" max="1287" width="14.7109375" style="100" customWidth="1"/>
    <col min="1288" max="1288" width="15.140625" style="100" customWidth="1"/>
    <col min="1289" max="1289" width="13.5703125" style="100" customWidth="1"/>
    <col min="1290" max="1293" width="0" style="100" hidden="1" customWidth="1"/>
    <col min="1294" max="1294" width="12.28515625" style="100" customWidth="1"/>
    <col min="1295" max="1295" width="12.140625" style="100" customWidth="1"/>
    <col min="1296" max="1297" width="0" style="100" hidden="1" customWidth="1"/>
    <col min="1298" max="1298" width="12" style="100" customWidth="1"/>
    <col min="1299" max="1299" width="12.42578125" style="100" customWidth="1"/>
    <col min="1300" max="1300" width="11.5703125" style="100" customWidth="1"/>
    <col min="1301" max="1301" width="11.85546875" style="100" customWidth="1"/>
    <col min="1302" max="1302" width="0" style="100" hidden="1" customWidth="1"/>
    <col min="1303" max="1303" width="12.28515625" style="100" bestFit="1" customWidth="1"/>
    <col min="1304" max="1304" width="13.5703125" style="100" bestFit="1" customWidth="1"/>
    <col min="1305" max="1305" width="13.7109375" style="100" bestFit="1" customWidth="1"/>
    <col min="1306" max="1306" width="9.28515625" style="100" bestFit="1" customWidth="1"/>
    <col min="1307" max="1308" width="9.140625" style="100" bestFit="1" customWidth="1"/>
    <col min="1309" max="1314" width="8.85546875" style="100"/>
    <col min="1315" max="1316" width="9.140625" style="100" bestFit="1" customWidth="1"/>
    <col min="1317" max="1536" width="8.85546875" style="100"/>
    <col min="1537" max="1537" width="6.42578125" style="100" customWidth="1"/>
    <col min="1538" max="1538" width="61.42578125" style="100" customWidth="1"/>
    <col min="1539" max="1541" width="0" style="100" hidden="1" customWidth="1"/>
    <col min="1542" max="1542" width="14.42578125" style="100" customWidth="1"/>
    <col min="1543" max="1543" width="14.7109375" style="100" customWidth="1"/>
    <col min="1544" max="1544" width="15.140625" style="100" customWidth="1"/>
    <col min="1545" max="1545" width="13.5703125" style="100" customWidth="1"/>
    <col min="1546" max="1549" width="0" style="100" hidden="1" customWidth="1"/>
    <col min="1550" max="1550" width="12.28515625" style="100" customWidth="1"/>
    <col min="1551" max="1551" width="12.140625" style="100" customWidth="1"/>
    <col min="1552" max="1553" width="0" style="100" hidden="1" customWidth="1"/>
    <col min="1554" max="1554" width="12" style="100" customWidth="1"/>
    <col min="1555" max="1555" width="12.42578125" style="100" customWidth="1"/>
    <col min="1556" max="1556" width="11.5703125" style="100" customWidth="1"/>
    <col min="1557" max="1557" width="11.85546875" style="100" customWidth="1"/>
    <col min="1558" max="1558" width="0" style="100" hidden="1" customWidth="1"/>
    <col min="1559" max="1559" width="12.28515625" style="100" bestFit="1" customWidth="1"/>
    <col min="1560" max="1560" width="13.5703125" style="100" bestFit="1" customWidth="1"/>
    <col min="1561" max="1561" width="13.7109375" style="100" bestFit="1" customWidth="1"/>
    <col min="1562" max="1562" width="9.28515625" style="100" bestFit="1" customWidth="1"/>
    <col min="1563" max="1564" width="9.140625" style="100" bestFit="1" customWidth="1"/>
    <col min="1565" max="1570" width="8.85546875" style="100"/>
    <col min="1571" max="1572" width="9.140625" style="100" bestFit="1" customWidth="1"/>
    <col min="1573" max="1792" width="8.85546875" style="100"/>
    <col min="1793" max="1793" width="6.42578125" style="100" customWidth="1"/>
    <col min="1794" max="1794" width="61.42578125" style="100" customWidth="1"/>
    <col min="1795" max="1797" width="0" style="100" hidden="1" customWidth="1"/>
    <col min="1798" max="1798" width="14.42578125" style="100" customWidth="1"/>
    <col min="1799" max="1799" width="14.7109375" style="100" customWidth="1"/>
    <col min="1800" max="1800" width="15.140625" style="100" customWidth="1"/>
    <col min="1801" max="1801" width="13.5703125" style="100" customWidth="1"/>
    <col min="1802" max="1805" width="0" style="100" hidden="1" customWidth="1"/>
    <col min="1806" max="1806" width="12.28515625" style="100" customWidth="1"/>
    <col min="1807" max="1807" width="12.140625" style="100" customWidth="1"/>
    <col min="1808" max="1809" width="0" style="100" hidden="1" customWidth="1"/>
    <col min="1810" max="1810" width="12" style="100" customWidth="1"/>
    <col min="1811" max="1811" width="12.42578125" style="100" customWidth="1"/>
    <col min="1812" max="1812" width="11.5703125" style="100" customWidth="1"/>
    <col min="1813" max="1813" width="11.85546875" style="100" customWidth="1"/>
    <col min="1814" max="1814" width="0" style="100" hidden="1" customWidth="1"/>
    <col min="1815" max="1815" width="12.28515625" style="100" bestFit="1" customWidth="1"/>
    <col min="1816" max="1816" width="13.5703125" style="100" bestFit="1" customWidth="1"/>
    <col min="1817" max="1817" width="13.7109375" style="100" bestFit="1" customWidth="1"/>
    <col min="1818" max="1818" width="9.28515625" style="100" bestFit="1" customWidth="1"/>
    <col min="1819" max="1820" width="9.140625" style="100" bestFit="1" customWidth="1"/>
    <col min="1821" max="1826" width="8.85546875" style="100"/>
    <col min="1827" max="1828" width="9.140625" style="100" bestFit="1" customWidth="1"/>
    <col min="1829" max="2048" width="8.85546875" style="100"/>
    <col min="2049" max="2049" width="6.42578125" style="100" customWidth="1"/>
    <col min="2050" max="2050" width="61.42578125" style="100" customWidth="1"/>
    <col min="2051" max="2053" width="0" style="100" hidden="1" customWidth="1"/>
    <col min="2054" max="2054" width="14.42578125" style="100" customWidth="1"/>
    <col min="2055" max="2055" width="14.7109375" style="100" customWidth="1"/>
    <col min="2056" max="2056" width="15.140625" style="100" customWidth="1"/>
    <col min="2057" max="2057" width="13.5703125" style="100" customWidth="1"/>
    <col min="2058" max="2061" width="0" style="100" hidden="1" customWidth="1"/>
    <col min="2062" max="2062" width="12.28515625" style="100" customWidth="1"/>
    <col min="2063" max="2063" width="12.140625" style="100" customWidth="1"/>
    <col min="2064" max="2065" width="0" style="100" hidden="1" customWidth="1"/>
    <col min="2066" max="2066" width="12" style="100" customWidth="1"/>
    <col min="2067" max="2067" width="12.42578125" style="100" customWidth="1"/>
    <col min="2068" max="2068" width="11.5703125" style="100" customWidth="1"/>
    <col min="2069" max="2069" width="11.85546875" style="100" customWidth="1"/>
    <col min="2070" max="2070" width="0" style="100" hidden="1" customWidth="1"/>
    <col min="2071" max="2071" width="12.28515625" style="100" bestFit="1" customWidth="1"/>
    <col min="2072" max="2072" width="13.5703125" style="100" bestFit="1" customWidth="1"/>
    <col min="2073" max="2073" width="13.7109375" style="100" bestFit="1" customWidth="1"/>
    <col min="2074" max="2074" width="9.28515625" style="100" bestFit="1" customWidth="1"/>
    <col min="2075" max="2076" width="9.140625" style="100" bestFit="1" customWidth="1"/>
    <col min="2077" max="2082" width="8.85546875" style="100"/>
    <col min="2083" max="2084" width="9.140625" style="100" bestFit="1" customWidth="1"/>
    <col min="2085" max="2304" width="8.85546875" style="100"/>
    <col min="2305" max="2305" width="6.42578125" style="100" customWidth="1"/>
    <col min="2306" max="2306" width="61.42578125" style="100" customWidth="1"/>
    <col min="2307" max="2309" width="0" style="100" hidden="1" customWidth="1"/>
    <col min="2310" max="2310" width="14.42578125" style="100" customWidth="1"/>
    <col min="2311" max="2311" width="14.7109375" style="100" customWidth="1"/>
    <col min="2312" max="2312" width="15.140625" style="100" customWidth="1"/>
    <col min="2313" max="2313" width="13.5703125" style="100" customWidth="1"/>
    <col min="2314" max="2317" width="0" style="100" hidden="1" customWidth="1"/>
    <col min="2318" max="2318" width="12.28515625" style="100" customWidth="1"/>
    <col min="2319" max="2319" width="12.140625" style="100" customWidth="1"/>
    <col min="2320" max="2321" width="0" style="100" hidden="1" customWidth="1"/>
    <col min="2322" max="2322" width="12" style="100" customWidth="1"/>
    <col min="2323" max="2323" width="12.42578125" style="100" customWidth="1"/>
    <col min="2324" max="2324" width="11.5703125" style="100" customWidth="1"/>
    <col min="2325" max="2325" width="11.85546875" style="100" customWidth="1"/>
    <col min="2326" max="2326" width="0" style="100" hidden="1" customWidth="1"/>
    <col min="2327" max="2327" width="12.28515625" style="100" bestFit="1" customWidth="1"/>
    <col min="2328" max="2328" width="13.5703125" style="100" bestFit="1" customWidth="1"/>
    <col min="2329" max="2329" width="13.7109375" style="100" bestFit="1" customWidth="1"/>
    <col min="2330" max="2330" width="9.28515625" style="100" bestFit="1" customWidth="1"/>
    <col min="2331" max="2332" width="9.140625" style="100" bestFit="1" customWidth="1"/>
    <col min="2333" max="2338" width="8.85546875" style="100"/>
    <col min="2339" max="2340" width="9.140625" style="100" bestFit="1" customWidth="1"/>
    <col min="2341" max="2560" width="8.85546875" style="100"/>
    <col min="2561" max="2561" width="6.42578125" style="100" customWidth="1"/>
    <col min="2562" max="2562" width="61.42578125" style="100" customWidth="1"/>
    <col min="2563" max="2565" width="0" style="100" hidden="1" customWidth="1"/>
    <col min="2566" max="2566" width="14.42578125" style="100" customWidth="1"/>
    <col min="2567" max="2567" width="14.7109375" style="100" customWidth="1"/>
    <col min="2568" max="2568" width="15.140625" style="100" customWidth="1"/>
    <col min="2569" max="2569" width="13.5703125" style="100" customWidth="1"/>
    <col min="2570" max="2573" width="0" style="100" hidden="1" customWidth="1"/>
    <col min="2574" max="2574" width="12.28515625" style="100" customWidth="1"/>
    <col min="2575" max="2575" width="12.140625" style="100" customWidth="1"/>
    <col min="2576" max="2577" width="0" style="100" hidden="1" customWidth="1"/>
    <col min="2578" max="2578" width="12" style="100" customWidth="1"/>
    <col min="2579" max="2579" width="12.42578125" style="100" customWidth="1"/>
    <col min="2580" max="2580" width="11.5703125" style="100" customWidth="1"/>
    <col min="2581" max="2581" width="11.85546875" style="100" customWidth="1"/>
    <col min="2582" max="2582" width="0" style="100" hidden="1" customWidth="1"/>
    <col min="2583" max="2583" width="12.28515625" style="100" bestFit="1" customWidth="1"/>
    <col min="2584" max="2584" width="13.5703125" style="100" bestFit="1" customWidth="1"/>
    <col min="2585" max="2585" width="13.7109375" style="100" bestFit="1" customWidth="1"/>
    <col min="2586" max="2586" width="9.28515625" style="100" bestFit="1" customWidth="1"/>
    <col min="2587" max="2588" width="9.140625" style="100" bestFit="1" customWidth="1"/>
    <col min="2589" max="2594" width="8.85546875" style="100"/>
    <col min="2595" max="2596" width="9.140625" style="100" bestFit="1" customWidth="1"/>
    <col min="2597" max="2816" width="8.85546875" style="100"/>
    <col min="2817" max="2817" width="6.42578125" style="100" customWidth="1"/>
    <col min="2818" max="2818" width="61.42578125" style="100" customWidth="1"/>
    <col min="2819" max="2821" width="0" style="100" hidden="1" customWidth="1"/>
    <col min="2822" max="2822" width="14.42578125" style="100" customWidth="1"/>
    <col min="2823" max="2823" width="14.7109375" style="100" customWidth="1"/>
    <col min="2824" max="2824" width="15.140625" style="100" customWidth="1"/>
    <col min="2825" max="2825" width="13.5703125" style="100" customWidth="1"/>
    <col min="2826" max="2829" width="0" style="100" hidden="1" customWidth="1"/>
    <col min="2830" max="2830" width="12.28515625" style="100" customWidth="1"/>
    <col min="2831" max="2831" width="12.140625" style="100" customWidth="1"/>
    <col min="2832" max="2833" width="0" style="100" hidden="1" customWidth="1"/>
    <col min="2834" max="2834" width="12" style="100" customWidth="1"/>
    <col min="2835" max="2835" width="12.42578125" style="100" customWidth="1"/>
    <col min="2836" max="2836" width="11.5703125" style="100" customWidth="1"/>
    <col min="2837" max="2837" width="11.85546875" style="100" customWidth="1"/>
    <col min="2838" max="2838" width="0" style="100" hidden="1" customWidth="1"/>
    <col min="2839" max="2839" width="12.28515625" style="100" bestFit="1" customWidth="1"/>
    <col min="2840" max="2840" width="13.5703125" style="100" bestFit="1" customWidth="1"/>
    <col min="2841" max="2841" width="13.7109375" style="100" bestFit="1" customWidth="1"/>
    <col min="2842" max="2842" width="9.28515625" style="100" bestFit="1" customWidth="1"/>
    <col min="2843" max="2844" width="9.140625" style="100" bestFit="1" customWidth="1"/>
    <col min="2845" max="2850" width="8.85546875" style="100"/>
    <col min="2851" max="2852" width="9.140625" style="100" bestFit="1" customWidth="1"/>
    <col min="2853" max="3072" width="8.85546875" style="100"/>
    <col min="3073" max="3073" width="6.42578125" style="100" customWidth="1"/>
    <col min="3074" max="3074" width="61.42578125" style="100" customWidth="1"/>
    <col min="3075" max="3077" width="0" style="100" hidden="1" customWidth="1"/>
    <col min="3078" max="3078" width="14.42578125" style="100" customWidth="1"/>
    <col min="3079" max="3079" width="14.7109375" style="100" customWidth="1"/>
    <col min="3080" max="3080" width="15.140625" style="100" customWidth="1"/>
    <col min="3081" max="3081" width="13.5703125" style="100" customWidth="1"/>
    <col min="3082" max="3085" width="0" style="100" hidden="1" customWidth="1"/>
    <col min="3086" max="3086" width="12.28515625" style="100" customWidth="1"/>
    <col min="3087" max="3087" width="12.140625" style="100" customWidth="1"/>
    <col min="3088" max="3089" width="0" style="100" hidden="1" customWidth="1"/>
    <col min="3090" max="3090" width="12" style="100" customWidth="1"/>
    <col min="3091" max="3091" width="12.42578125" style="100" customWidth="1"/>
    <col min="3092" max="3092" width="11.5703125" style="100" customWidth="1"/>
    <col min="3093" max="3093" width="11.85546875" style="100" customWidth="1"/>
    <col min="3094" max="3094" width="0" style="100" hidden="1" customWidth="1"/>
    <col min="3095" max="3095" width="12.28515625" style="100" bestFit="1" customWidth="1"/>
    <col min="3096" max="3096" width="13.5703125" style="100" bestFit="1" customWidth="1"/>
    <col min="3097" max="3097" width="13.7109375" style="100" bestFit="1" customWidth="1"/>
    <col min="3098" max="3098" width="9.28515625" style="100" bestFit="1" customWidth="1"/>
    <col min="3099" max="3100" width="9.140625" style="100" bestFit="1" customWidth="1"/>
    <col min="3101" max="3106" width="8.85546875" style="100"/>
    <col min="3107" max="3108" width="9.140625" style="100" bestFit="1" customWidth="1"/>
    <col min="3109" max="3328" width="8.85546875" style="100"/>
    <col min="3329" max="3329" width="6.42578125" style="100" customWidth="1"/>
    <col min="3330" max="3330" width="61.42578125" style="100" customWidth="1"/>
    <col min="3331" max="3333" width="0" style="100" hidden="1" customWidth="1"/>
    <col min="3334" max="3334" width="14.42578125" style="100" customWidth="1"/>
    <col min="3335" max="3335" width="14.7109375" style="100" customWidth="1"/>
    <col min="3336" max="3336" width="15.140625" style="100" customWidth="1"/>
    <col min="3337" max="3337" width="13.5703125" style="100" customWidth="1"/>
    <col min="3338" max="3341" width="0" style="100" hidden="1" customWidth="1"/>
    <col min="3342" max="3342" width="12.28515625" style="100" customWidth="1"/>
    <col min="3343" max="3343" width="12.140625" style="100" customWidth="1"/>
    <col min="3344" max="3345" width="0" style="100" hidden="1" customWidth="1"/>
    <col min="3346" max="3346" width="12" style="100" customWidth="1"/>
    <col min="3347" max="3347" width="12.42578125" style="100" customWidth="1"/>
    <col min="3348" max="3348" width="11.5703125" style="100" customWidth="1"/>
    <col min="3349" max="3349" width="11.85546875" style="100" customWidth="1"/>
    <col min="3350" max="3350" width="0" style="100" hidden="1" customWidth="1"/>
    <col min="3351" max="3351" width="12.28515625" style="100" bestFit="1" customWidth="1"/>
    <col min="3352" max="3352" width="13.5703125" style="100" bestFit="1" customWidth="1"/>
    <col min="3353" max="3353" width="13.7109375" style="100" bestFit="1" customWidth="1"/>
    <col min="3354" max="3354" width="9.28515625" style="100" bestFit="1" customWidth="1"/>
    <col min="3355" max="3356" width="9.140625" style="100" bestFit="1" customWidth="1"/>
    <col min="3357" max="3362" width="8.85546875" style="100"/>
    <col min="3363" max="3364" width="9.140625" style="100" bestFit="1" customWidth="1"/>
    <col min="3365" max="3584" width="8.85546875" style="100"/>
    <col min="3585" max="3585" width="6.42578125" style="100" customWidth="1"/>
    <col min="3586" max="3586" width="61.42578125" style="100" customWidth="1"/>
    <col min="3587" max="3589" width="0" style="100" hidden="1" customWidth="1"/>
    <col min="3590" max="3590" width="14.42578125" style="100" customWidth="1"/>
    <col min="3591" max="3591" width="14.7109375" style="100" customWidth="1"/>
    <col min="3592" max="3592" width="15.140625" style="100" customWidth="1"/>
    <col min="3593" max="3593" width="13.5703125" style="100" customWidth="1"/>
    <col min="3594" max="3597" width="0" style="100" hidden="1" customWidth="1"/>
    <col min="3598" max="3598" width="12.28515625" style="100" customWidth="1"/>
    <col min="3599" max="3599" width="12.140625" style="100" customWidth="1"/>
    <col min="3600" max="3601" width="0" style="100" hidden="1" customWidth="1"/>
    <col min="3602" max="3602" width="12" style="100" customWidth="1"/>
    <col min="3603" max="3603" width="12.42578125" style="100" customWidth="1"/>
    <col min="3604" max="3604" width="11.5703125" style="100" customWidth="1"/>
    <col min="3605" max="3605" width="11.85546875" style="100" customWidth="1"/>
    <col min="3606" max="3606" width="0" style="100" hidden="1" customWidth="1"/>
    <col min="3607" max="3607" width="12.28515625" style="100" bestFit="1" customWidth="1"/>
    <col min="3608" max="3608" width="13.5703125" style="100" bestFit="1" customWidth="1"/>
    <col min="3609" max="3609" width="13.7109375" style="100" bestFit="1" customWidth="1"/>
    <col min="3610" max="3610" width="9.28515625" style="100" bestFit="1" customWidth="1"/>
    <col min="3611" max="3612" width="9.140625" style="100" bestFit="1" customWidth="1"/>
    <col min="3613" max="3618" width="8.85546875" style="100"/>
    <col min="3619" max="3620" width="9.140625" style="100" bestFit="1" customWidth="1"/>
    <col min="3621" max="3840" width="8.85546875" style="100"/>
    <col min="3841" max="3841" width="6.42578125" style="100" customWidth="1"/>
    <col min="3842" max="3842" width="61.42578125" style="100" customWidth="1"/>
    <col min="3843" max="3845" width="0" style="100" hidden="1" customWidth="1"/>
    <col min="3846" max="3846" width="14.42578125" style="100" customWidth="1"/>
    <col min="3847" max="3847" width="14.7109375" style="100" customWidth="1"/>
    <col min="3848" max="3848" width="15.140625" style="100" customWidth="1"/>
    <col min="3849" max="3849" width="13.5703125" style="100" customWidth="1"/>
    <col min="3850" max="3853" width="0" style="100" hidden="1" customWidth="1"/>
    <col min="3854" max="3854" width="12.28515625" style="100" customWidth="1"/>
    <col min="3855" max="3855" width="12.140625" style="100" customWidth="1"/>
    <col min="3856" max="3857" width="0" style="100" hidden="1" customWidth="1"/>
    <col min="3858" max="3858" width="12" style="100" customWidth="1"/>
    <col min="3859" max="3859" width="12.42578125" style="100" customWidth="1"/>
    <col min="3860" max="3860" width="11.5703125" style="100" customWidth="1"/>
    <col min="3861" max="3861" width="11.85546875" style="100" customWidth="1"/>
    <col min="3862" max="3862" width="0" style="100" hidden="1" customWidth="1"/>
    <col min="3863" max="3863" width="12.28515625" style="100" bestFit="1" customWidth="1"/>
    <col min="3864" max="3864" width="13.5703125" style="100" bestFit="1" customWidth="1"/>
    <col min="3865" max="3865" width="13.7109375" style="100" bestFit="1" customWidth="1"/>
    <col min="3866" max="3866" width="9.28515625" style="100" bestFit="1" customWidth="1"/>
    <col min="3867" max="3868" width="9.140625" style="100" bestFit="1" customWidth="1"/>
    <col min="3869" max="3874" width="8.85546875" style="100"/>
    <col min="3875" max="3876" width="9.140625" style="100" bestFit="1" customWidth="1"/>
    <col min="3877" max="4096" width="8.85546875" style="100"/>
    <col min="4097" max="4097" width="6.42578125" style="100" customWidth="1"/>
    <col min="4098" max="4098" width="61.42578125" style="100" customWidth="1"/>
    <col min="4099" max="4101" width="0" style="100" hidden="1" customWidth="1"/>
    <col min="4102" max="4102" width="14.42578125" style="100" customWidth="1"/>
    <col min="4103" max="4103" width="14.7109375" style="100" customWidth="1"/>
    <col min="4104" max="4104" width="15.140625" style="100" customWidth="1"/>
    <col min="4105" max="4105" width="13.5703125" style="100" customWidth="1"/>
    <col min="4106" max="4109" width="0" style="100" hidden="1" customWidth="1"/>
    <col min="4110" max="4110" width="12.28515625" style="100" customWidth="1"/>
    <col min="4111" max="4111" width="12.140625" style="100" customWidth="1"/>
    <col min="4112" max="4113" width="0" style="100" hidden="1" customWidth="1"/>
    <col min="4114" max="4114" width="12" style="100" customWidth="1"/>
    <col min="4115" max="4115" width="12.42578125" style="100" customWidth="1"/>
    <col min="4116" max="4116" width="11.5703125" style="100" customWidth="1"/>
    <col min="4117" max="4117" width="11.85546875" style="100" customWidth="1"/>
    <col min="4118" max="4118" width="0" style="100" hidden="1" customWidth="1"/>
    <col min="4119" max="4119" width="12.28515625" style="100" bestFit="1" customWidth="1"/>
    <col min="4120" max="4120" width="13.5703125" style="100" bestFit="1" customWidth="1"/>
    <col min="4121" max="4121" width="13.7109375" style="100" bestFit="1" customWidth="1"/>
    <col min="4122" max="4122" width="9.28515625" style="100" bestFit="1" customWidth="1"/>
    <col min="4123" max="4124" width="9.140625" style="100" bestFit="1" customWidth="1"/>
    <col min="4125" max="4130" width="8.85546875" style="100"/>
    <col min="4131" max="4132" width="9.140625" style="100" bestFit="1" customWidth="1"/>
    <col min="4133" max="4352" width="8.85546875" style="100"/>
    <col min="4353" max="4353" width="6.42578125" style="100" customWidth="1"/>
    <col min="4354" max="4354" width="61.42578125" style="100" customWidth="1"/>
    <col min="4355" max="4357" width="0" style="100" hidden="1" customWidth="1"/>
    <col min="4358" max="4358" width="14.42578125" style="100" customWidth="1"/>
    <col min="4359" max="4359" width="14.7109375" style="100" customWidth="1"/>
    <col min="4360" max="4360" width="15.140625" style="100" customWidth="1"/>
    <col min="4361" max="4361" width="13.5703125" style="100" customWidth="1"/>
    <col min="4362" max="4365" width="0" style="100" hidden="1" customWidth="1"/>
    <col min="4366" max="4366" width="12.28515625" style="100" customWidth="1"/>
    <col min="4367" max="4367" width="12.140625" style="100" customWidth="1"/>
    <col min="4368" max="4369" width="0" style="100" hidden="1" customWidth="1"/>
    <col min="4370" max="4370" width="12" style="100" customWidth="1"/>
    <col min="4371" max="4371" width="12.42578125" style="100" customWidth="1"/>
    <col min="4372" max="4372" width="11.5703125" style="100" customWidth="1"/>
    <col min="4373" max="4373" width="11.85546875" style="100" customWidth="1"/>
    <col min="4374" max="4374" width="0" style="100" hidden="1" customWidth="1"/>
    <col min="4375" max="4375" width="12.28515625" style="100" bestFit="1" customWidth="1"/>
    <col min="4376" max="4376" width="13.5703125" style="100" bestFit="1" customWidth="1"/>
    <col min="4377" max="4377" width="13.7109375" style="100" bestFit="1" customWidth="1"/>
    <col min="4378" max="4378" width="9.28515625" style="100" bestFit="1" customWidth="1"/>
    <col min="4379" max="4380" width="9.140625" style="100" bestFit="1" customWidth="1"/>
    <col min="4381" max="4386" width="8.85546875" style="100"/>
    <col min="4387" max="4388" width="9.140625" style="100" bestFit="1" customWidth="1"/>
    <col min="4389" max="4608" width="8.85546875" style="100"/>
    <col min="4609" max="4609" width="6.42578125" style="100" customWidth="1"/>
    <col min="4610" max="4610" width="61.42578125" style="100" customWidth="1"/>
    <col min="4611" max="4613" width="0" style="100" hidden="1" customWidth="1"/>
    <col min="4614" max="4614" width="14.42578125" style="100" customWidth="1"/>
    <col min="4615" max="4615" width="14.7109375" style="100" customWidth="1"/>
    <col min="4616" max="4616" width="15.140625" style="100" customWidth="1"/>
    <col min="4617" max="4617" width="13.5703125" style="100" customWidth="1"/>
    <col min="4618" max="4621" width="0" style="100" hidden="1" customWidth="1"/>
    <col min="4622" max="4622" width="12.28515625" style="100" customWidth="1"/>
    <col min="4623" max="4623" width="12.140625" style="100" customWidth="1"/>
    <col min="4624" max="4625" width="0" style="100" hidden="1" customWidth="1"/>
    <col min="4626" max="4626" width="12" style="100" customWidth="1"/>
    <col min="4627" max="4627" width="12.42578125" style="100" customWidth="1"/>
    <col min="4628" max="4628" width="11.5703125" style="100" customWidth="1"/>
    <col min="4629" max="4629" width="11.85546875" style="100" customWidth="1"/>
    <col min="4630" max="4630" width="0" style="100" hidden="1" customWidth="1"/>
    <col min="4631" max="4631" width="12.28515625" style="100" bestFit="1" customWidth="1"/>
    <col min="4632" max="4632" width="13.5703125" style="100" bestFit="1" customWidth="1"/>
    <col min="4633" max="4633" width="13.7109375" style="100" bestFit="1" customWidth="1"/>
    <col min="4634" max="4634" width="9.28515625" style="100" bestFit="1" customWidth="1"/>
    <col min="4635" max="4636" width="9.140625" style="100" bestFit="1" customWidth="1"/>
    <col min="4637" max="4642" width="8.85546875" style="100"/>
    <col min="4643" max="4644" width="9.140625" style="100" bestFit="1" customWidth="1"/>
    <col min="4645" max="4864" width="8.85546875" style="100"/>
    <col min="4865" max="4865" width="6.42578125" style="100" customWidth="1"/>
    <col min="4866" max="4866" width="61.42578125" style="100" customWidth="1"/>
    <col min="4867" max="4869" width="0" style="100" hidden="1" customWidth="1"/>
    <col min="4870" max="4870" width="14.42578125" style="100" customWidth="1"/>
    <col min="4871" max="4871" width="14.7109375" style="100" customWidth="1"/>
    <col min="4872" max="4872" width="15.140625" style="100" customWidth="1"/>
    <col min="4873" max="4873" width="13.5703125" style="100" customWidth="1"/>
    <col min="4874" max="4877" width="0" style="100" hidden="1" customWidth="1"/>
    <col min="4878" max="4878" width="12.28515625" style="100" customWidth="1"/>
    <col min="4879" max="4879" width="12.140625" style="100" customWidth="1"/>
    <col min="4880" max="4881" width="0" style="100" hidden="1" customWidth="1"/>
    <col min="4882" max="4882" width="12" style="100" customWidth="1"/>
    <col min="4883" max="4883" width="12.42578125" style="100" customWidth="1"/>
    <col min="4884" max="4884" width="11.5703125" style="100" customWidth="1"/>
    <col min="4885" max="4885" width="11.85546875" style="100" customWidth="1"/>
    <col min="4886" max="4886" width="0" style="100" hidden="1" customWidth="1"/>
    <col min="4887" max="4887" width="12.28515625" style="100" bestFit="1" customWidth="1"/>
    <col min="4888" max="4888" width="13.5703125" style="100" bestFit="1" customWidth="1"/>
    <col min="4889" max="4889" width="13.7109375" style="100" bestFit="1" customWidth="1"/>
    <col min="4890" max="4890" width="9.28515625" style="100" bestFit="1" customWidth="1"/>
    <col min="4891" max="4892" width="9.140625" style="100" bestFit="1" customWidth="1"/>
    <col min="4893" max="4898" width="8.85546875" style="100"/>
    <col min="4899" max="4900" width="9.140625" style="100" bestFit="1" customWidth="1"/>
    <col min="4901" max="5120" width="8.85546875" style="100"/>
    <col min="5121" max="5121" width="6.42578125" style="100" customWidth="1"/>
    <col min="5122" max="5122" width="61.42578125" style="100" customWidth="1"/>
    <col min="5123" max="5125" width="0" style="100" hidden="1" customWidth="1"/>
    <col min="5126" max="5126" width="14.42578125" style="100" customWidth="1"/>
    <col min="5127" max="5127" width="14.7109375" style="100" customWidth="1"/>
    <col min="5128" max="5128" width="15.140625" style="100" customWidth="1"/>
    <col min="5129" max="5129" width="13.5703125" style="100" customWidth="1"/>
    <col min="5130" max="5133" width="0" style="100" hidden="1" customWidth="1"/>
    <col min="5134" max="5134" width="12.28515625" style="100" customWidth="1"/>
    <col min="5135" max="5135" width="12.140625" style="100" customWidth="1"/>
    <col min="5136" max="5137" width="0" style="100" hidden="1" customWidth="1"/>
    <col min="5138" max="5138" width="12" style="100" customWidth="1"/>
    <col min="5139" max="5139" width="12.42578125" style="100" customWidth="1"/>
    <col min="5140" max="5140" width="11.5703125" style="100" customWidth="1"/>
    <col min="5141" max="5141" width="11.85546875" style="100" customWidth="1"/>
    <col min="5142" max="5142" width="0" style="100" hidden="1" customWidth="1"/>
    <col min="5143" max="5143" width="12.28515625" style="100" bestFit="1" customWidth="1"/>
    <col min="5144" max="5144" width="13.5703125" style="100" bestFit="1" customWidth="1"/>
    <col min="5145" max="5145" width="13.7109375" style="100" bestFit="1" customWidth="1"/>
    <col min="5146" max="5146" width="9.28515625" style="100" bestFit="1" customWidth="1"/>
    <col min="5147" max="5148" width="9.140625" style="100" bestFit="1" customWidth="1"/>
    <col min="5149" max="5154" width="8.85546875" style="100"/>
    <col min="5155" max="5156" width="9.140625" style="100" bestFit="1" customWidth="1"/>
    <col min="5157" max="5376" width="8.85546875" style="100"/>
    <col min="5377" max="5377" width="6.42578125" style="100" customWidth="1"/>
    <col min="5378" max="5378" width="61.42578125" style="100" customWidth="1"/>
    <col min="5379" max="5381" width="0" style="100" hidden="1" customWidth="1"/>
    <col min="5382" max="5382" width="14.42578125" style="100" customWidth="1"/>
    <col min="5383" max="5383" width="14.7109375" style="100" customWidth="1"/>
    <col min="5384" max="5384" width="15.140625" style="100" customWidth="1"/>
    <col min="5385" max="5385" width="13.5703125" style="100" customWidth="1"/>
    <col min="5386" max="5389" width="0" style="100" hidden="1" customWidth="1"/>
    <col min="5390" max="5390" width="12.28515625" style="100" customWidth="1"/>
    <col min="5391" max="5391" width="12.140625" style="100" customWidth="1"/>
    <col min="5392" max="5393" width="0" style="100" hidden="1" customWidth="1"/>
    <col min="5394" max="5394" width="12" style="100" customWidth="1"/>
    <col min="5395" max="5395" width="12.42578125" style="100" customWidth="1"/>
    <col min="5396" max="5396" width="11.5703125" style="100" customWidth="1"/>
    <col min="5397" max="5397" width="11.85546875" style="100" customWidth="1"/>
    <col min="5398" max="5398" width="0" style="100" hidden="1" customWidth="1"/>
    <col min="5399" max="5399" width="12.28515625" style="100" bestFit="1" customWidth="1"/>
    <col min="5400" max="5400" width="13.5703125" style="100" bestFit="1" customWidth="1"/>
    <col min="5401" max="5401" width="13.7109375" style="100" bestFit="1" customWidth="1"/>
    <col min="5402" max="5402" width="9.28515625" style="100" bestFit="1" customWidth="1"/>
    <col min="5403" max="5404" width="9.140625" style="100" bestFit="1" customWidth="1"/>
    <col min="5405" max="5410" width="8.85546875" style="100"/>
    <col min="5411" max="5412" width="9.140625" style="100" bestFit="1" customWidth="1"/>
    <col min="5413" max="5632" width="8.85546875" style="100"/>
    <col min="5633" max="5633" width="6.42578125" style="100" customWidth="1"/>
    <col min="5634" max="5634" width="61.42578125" style="100" customWidth="1"/>
    <col min="5635" max="5637" width="0" style="100" hidden="1" customWidth="1"/>
    <col min="5638" max="5638" width="14.42578125" style="100" customWidth="1"/>
    <col min="5639" max="5639" width="14.7109375" style="100" customWidth="1"/>
    <col min="5640" max="5640" width="15.140625" style="100" customWidth="1"/>
    <col min="5641" max="5641" width="13.5703125" style="100" customWidth="1"/>
    <col min="5642" max="5645" width="0" style="100" hidden="1" customWidth="1"/>
    <col min="5646" max="5646" width="12.28515625" style="100" customWidth="1"/>
    <col min="5647" max="5647" width="12.140625" style="100" customWidth="1"/>
    <col min="5648" max="5649" width="0" style="100" hidden="1" customWidth="1"/>
    <col min="5650" max="5650" width="12" style="100" customWidth="1"/>
    <col min="5651" max="5651" width="12.42578125" style="100" customWidth="1"/>
    <col min="5652" max="5652" width="11.5703125" style="100" customWidth="1"/>
    <col min="5653" max="5653" width="11.85546875" style="100" customWidth="1"/>
    <col min="5654" max="5654" width="0" style="100" hidden="1" customWidth="1"/>
    <col min="5655" max="5655" width="12.28515625" style="100" bestFit="1" customWidth="1"/>
    <col min="5656" max="5656" width="13.5703125" style="100" bestFit="1" customWidth="1"/>
    <col min="5657" max="5657" width="13.7109375" style="100" bestFit="1" customWidth="1"/>
    <col min="5658" max="5658" width="9.28515625" style="100" bestFit="1" customWidth="1"/>
    <col min="5659" max="5660" width="9.140625" style="100" bestFit="1" customWidth="1"/>
    <col min="5661" max="5666" width="8.85546875" style="100"/>
    <col min="5667" max="5668" width="9.140625" style="100" bestFit="1" customWidth="1"/>
    <col min="5669" max="5888" width="8.85546875" style="100"/>
    <col min="5889" max="5889" width="6.42578125" style="100" customWidth="1"/>
    <col min="5890" max="5890" width="61.42578125" style="100" customWidth="1"/>
    <col min="5891" max="5893" width="0" style="100" hidden="1" customWidth="1"/>
    <col min="5894" max="5894" width="14.42578125" style="100" customWidth="1"/>
    <col min="5895" max="5895" width="14.7109375" style="100" customWidth="1"/>
    <col min="5896" max="5896" width="15.140625" style="100" customWidth="1"/>
    <col min="5897" max="5897" width="13.5703125" style="100" customWidth="1"/>
    <col min="5898" max="5901" width="0" style="100" hidden="1" customWidth="1"/>
    <col min="5902" max="5902" width="12.28515625" style="100" customWidth="1"/>
    <col min="5903" max="5903" width="12.140625" style="100" customWidth="1"/>
    <col min="5904" max="5905" width="0" style="100" hidden="1" customWidth="1"/>
    <col min="5906" max="5906" width="12" style="100" customWidth="1"/>
    <col min="5907" max="5907" width="12.42578125" style="100" customWidth="1"/>
    <col min="5908" max="5908" width="11.5703125" style="100" customWidth="1"/>
    <col min="5909" max="5909" width="11.85546875" style="100" customWidth="1"/>
    <col min="5910" max="5910" width="0" style="100" hidden="1" customWidth="1"/>
    <col min="5911" max="5911" width="12.28515625" style="100" bestFit="1" customWidth="1"/>
    <col min="5912" max="5912" width="13.5703125" style="100" bestFit="1" customWidth="1"/>
    <col min="5913" max="5913" width="13.7109375" style="100" bestFit="1" customWidth="1"/>
    <col min="5914" max="5914" width="9.28515625" style="100" bestFit="1" customWidth="1"/>
    <col min="5915" max="5916" width="9.140625" style="100" bestFit="1" customWidth="1"/>
    <col min="5917" max="5922" width="8.85546875" style="100"/>
    <col min="5923" max="5924" width="9.140625" style="100" bestFit="1" customWidth="1"/>
    <col min="5925" max="6144" width="8.85546875" style="100"/>
    <col min="6145" max="6145" width="6.42578125" style="100" customWidth="1"/>
    <col min="6146" max="6146" width="61.42578125" style="100" customWidth="1"/>
    <col min="6147" max="6149" width="0" style="100" hidden="1" customWidth="1"/>
    <col min="6150" max="6150" width="14.42578125" style="100" customWidth="1"/>
    <col min="6151" max="6151" width="14.7109375" style="100" customWidth="1"/>
    <col min="6152" max="6152" width="15.140625" style="100" customWidth="1"/>
    <col min="6153" max="6153" width="13.5703125" style="100" customWidth="1"/>
    <col min="6154" max="6157" width="0" style="100" hidden="1" customWidth="1"/>
    <col min="6158" max="6158" width="12.28515625" style="100" customWidth="1"/>
    <col min="6159" max="6159" width="12.140625" style="100" customWidth="1"/>
    <col min="6160" max="6161" width="0" style="100" hidden="1" customWidth="1"/>
    <col min="6162" max="6162" width="12" style="100" customWidth="1"/>
    <col min="6163" max="6163" width="12.42578125" style="100" customWidth="1"/>
    <col min="6164" max="6164" width="11.5703125" style="100" customWidth="1"/>
    <col min="6165" max="6165" width="11.85546875" style="100" customWidth="1"/>
    <col min="6166" max="6166" width="0" style="100" hidden="1" customWidth="1"/>
    <col min="6167" max="6167" width="12.28515625" style="100" bestFit="1" customWidth="1"/>
    <col min="6168" max="6168" width="13.5703125" style="100" bestFit="1" customWidth="1"/>
    <col min="6169" max="6169" width="13.7109375" style="100" bestFit="1" customWidth="1"/>
    <col min="6170" max="6170" width="9.28515625" style="100" bestFit="1" customWidth="1"/>
    <col min="6171" max="6172" width="9.140625" style="100" bestFit="1" customWidth="1"/>
    <col min="6173" max="6178" width="8.85546875" style="100"/>
    <col min="6179" max="6180" width="9.140625" style="100" bestFit="1" customWidth="1"/>
    <col min="6181" max="6400" width="8.85546875" style="100"/>
    <col min="6401" max="6401" width="6.42578125" style="100" customWidth="1"/>
    <col min="6402" max="6402" width="61.42578125" style="100" customWidth="1"/>
    <col min="6403" max="6405" width="0" style="100" hidden="1" customWidth="1"/>
    <col min="6406" max="6406" width="14.42578125" style="100" customWidth="1"/>
    <col min="6407" max="6407" width="14.7109375" style="100" customWidth="1"/>
    <col min="6408" max="6408" width="15.140625" style="100" customWidth="1"/>
    <col min="6409" max="6409" width="13.5703125" style="100" customWidth="1"/>
    <col min="6410" max="6413" width="0" style="100" hidden="1" customWidth="1"/>
    <col min="6414" max="6414" width="12.28515625" style="100" customWidth="1"/>
    <col min="6415" max="6415" width="12.140625" style="100" customWidth="1"/>
    <col min="6416" max="6417" width="0" style="100" hidden="1" customWidth="1"/>
    <col min="6418" max="6418" width="12" style="100" customWidth="1"/>
    <col min="6419" max="6419" width="12.42578125" style="100" customWidth="1"/>
    <col min="6420" max="6420" width="11.5703125" style="100" customWidth="1"/>
    <col min="6421" max="6421" width="11.85546875" style="100" customWidth="1"/>
    <col min="6422" max="6422" width="0" style="100" hidden="1" customWidth="1"/>
    <col min="6423" max="6423" width="12.28515625" style="100" bestFit="1" customWidth="1"/>
    <col min="6424" max="6424" width="13.5703125" style="100" bestFit="1" customWidth="1"/>
    <col min="6425" max="6425" width="13.7109375" style="100" bestFit="1" customWidth="1"/>
    <col min="6426" max="6426" width="9.28515625" style="100" bestFit="1" customWidth="1"/>
    <col min="6427" max="6428" width="9.140625" style="100" bestFit="1" customWidth="1"/>
    <col min="6429" max="6434" width="8.85546875" style="100"/>
    <col min="6435" max="6436" width="9.140625" style="100" bestFit="1" customWidth="1"/>
    <col min="6437" max="6656" width="8.85546875" style="100"/>
    <col min="6657" max="6657" width="6.42578125" style="100" customWidth="1"/>
    <col min="6658" max="6658" width="61.42578125" style="100" customWidth="1"/>
    <col min="6659" max="6661" width="0" style="100" hidden="1" customWidth="1"/>
    <col min="6662" max="6662" width="14.42578125" style="100" customWidth="1"/>
    <col min="6663" max="6663" width="14.7109375" style="100" customWidth="1"/>
    <col min="6664" max="6664" width="15.140625" style="100" customWidth="1"/>
    <col min="6665" max="6665" width="13.5703125" style="100" customWidth="1"/>
    <col min="6666" max="6669" width="0" style="100" hidden="1" customWidth="1"/>
    <col min="6670" max="6670" width="12.28515625" style="100" customWidth="1"/>
    <col min="6671" max="6671" width="12.140625" style="100" customWidth="1"/>
    <col min="6672" max="6673" width="0" style="100" hidden="1" customWidth="1"/>
    <col min="6674" max="6674" width="12" style="100" customWidth="1"/>
    <col min="6675" max="6675" width="12.42578125" style="100" customWidth="1"/>
    <col min="6676" max="6676" width="11.5703125" style="100" customWidth="1"/>
    <col min="6677" max="6677" width="11.85546875" style="100" customWidth="1"/>
    <col min="6678" max="6678" width="0" style="100" hidden="1" customWidth="1"/>
    <col min="6679" max="6679" width="12.28515625" style="100" bestFit="1" customWidth="1"/>
    <col min="6680" max="6680" width="13.5703125" style="100" bestFit="1" customWidth="1"/>
    <col min="6681" max="6681" width="13.7109375" style="100" bestFit="1" customWidth="1"/>
    <col min="6682" max="6682" width="9.28515625" style="100" bestFit="1" customWidth="1"/>
    <col min="6683" max="6684" width="9.140625" style="100" bestFit="1" customWidth="1"/>
    <col min="6685" max="6690" width="8.85546875" style="100"/>
    <col min="6691" max="6692" width="9.140625" style="100" bestFit="1" customWidth="1"/>
    <col min="6693" max="6912" width="8.85546875" style="100"/>
    <col min="6913" max="6913" width="6.42578125" style="100" customWidth="1"/>
    <col min="6914" max="6914" width="61.42578125" style="100" customWidth="1"/>
    <col min="6915" max="6917" width="0" style="100" hidden="1" customWidth="1"/>
    <col min="6918" max="6918" width="14.42578125" style="100" customWidth="1"/>
    <col min="6919" max="6919" width="14.7109375" style="100" customWidth="1"/>
    <col min="6920" max="6920" width="15.140625" style="100" customWidth="1"/>
    <col min="6921" max="6921" width="13.5703125" style="100" customWidth="1"/>
    <col min="6922" max="6925" width="0" style="100" hidden="1" customWidth="1"/>
    <col min="6926" max="6926" width="12.28515625" style="100" customWidth="1"/>
    <col min="6927" max="6927" width="12.140625" style="100" customWidth="1"/>
    <col min="6928" max="6929" width="0" style="100" hidden="1" customWidth="1"/>
    <col min="6930" max="6930" width="12" style="100" customWidth="1"/>
    <col min="6931" max="6931" width="12.42578125" style="100" customWidth="1"/>
    <col min="6932" max="6932" width="11.5703125" style="100" customWidth="1"/>
    <col min="6933" max="6933" width="11.85546875" style="100" customWidth="1"/>
    <col min="6934" max="6934" width="0" style="100" hidden="1" customWidth="1"/>
    <col min="6935" max="6935" width="12.28515625" style="100" bestFit="1" customWidth="1"/>
    <col min="6936" max="6936" width="13.5703125" style="100" bestFit="1" customWidth="1"/>
    <col min="6937" max="6937" width="13.7109375" style="100" bestFit="1" customWidth="1"/>
    <col min="6938" max="6938" width="9.28515625" style="100" bestFit="1" customWidth="1"/>
    <col min="6939" max="6940" width="9.140625" style="100" bestFit="1" customWidth="1"/>
    <col min="6941" max="6946" width="8.85546875" style="100"/>
    <col min="6947" max="6948" width="9.140625" style="100" bestFit="1" customWidth="1"/>
    <col min="6949" max="7168" width="8.85546875" style="100"/>
    <col min="7169" max="7169" width="6.42578125" style="100" customWidth="1"/>
    <col min="7170" max="7170" width="61.42578125" style="100" customWidth="1"/>
    <col min="7171" max="7173" width="0" style="100" hidden="1" customWidth="1"/>
    <col min="7174" max="7174" width="14.42578125" style="100" customWidth="1"/>
    <col min="7175" max="7175" width="14.7109375" style="100" customWidth="1"/>
    <col min="7176" max="7176" width="15.140625" style="100" customWidth="1"/>
    <col min="7177" max="7177" width="13.5703125" style="100" customWidth="1"/>
    <col min="7178" max="7181" width="0" style="100" hidden="1" customWidth="1"/>
    <col min="7182" max="7182" width="12.28515625" style="100" customWidth="1"/>
    <col min="7183" max="7183" width="12.140625" style="100" customWidth="1"/>
    <col min="7184" max="7185" width="0" style="100" hidden="1" customWidth="1"/>
    <col min="7186" max="7186" width="12" style="100" customWidth="1"/>
    <col min="7187" max="7187" width="12.42578125" style="100" customWidth="1"/>
    <col min="7188" max="7188" width="11.5703125" style="100" customWidth="1"/>
    <col min="7189" max="7189" width="11.85546875" style="100" customWidth="1"/>
    <col min="7190" max="7190" width="0" style="100" hidden="1" customWidth="1"/>
    <col min="7191" max="7191" width="12.28515625" style="100" bestFit="1" customWidth="1"/>
    <col min="7192" max="7192" width="13.5703125" style="100" bestFit="1" customWidth="1"/>
    <col min="7193" max="7193" width="13.7109375" style="100" bestFit="1" customWidth="1"/>
    <col min="7194" max="7194" width="9.28515625" style="100" bestFit="1" customWidth="1"/>
    <col min="7195" max="7196" width="9.140625" style="100" bestFit="1" customWidth="1"/>
    <col min="7197" max="7202" width="8.85546875" style="100"/>
    <col min="7203" max="7204" width="9.140625" style="100" bestFit="1" customWidth="1"/>
    <col min="7205" max="7424" width="8.85546875" style="100"/>
    <col min="7425" max="7425" width="6.42578125" style="100" customWidth="1"/>
    <col min="7426" max="7426" width="61.42578125" style="100" customWidth="1"/>
    <col min="7427" max="7429" width="0" style="100" hidden="1" customWidth="1"/>
    <col min="7430" max="7430" width="14.42578125" style="100" customWidth="1"/>
    <col min="7431" max="7431" width="14.7109375" style="100" customWidth="1"/>
    <col min="7432" max="7432" width="15.140625" style="100" customWidth="1"/>
    <col min="7433" max="7433" width="13.5703125" style="100" customWidth="1"/>
    <col min="7434" max="7437" width="0" style="100" hidden="1" customWidth="1"/>
    <col min="7438" max="7438" width="12.28515625" style="100" customWidth="1"/>
    <col min="7439" max="7439" width="12.140625" style="100" customWidth="1"/>
    <col min="7440" max="7441" width="0" style="100" hidden="1" customWidth="1"/>
    <col min="7442" max="7442" width="12" style="100" customWidth="1"/>
    <col min="7443" max="7443" width="12.42578125" style="100" customWidth="1"/>
    <col min="7444" max="7444" width="11.5703125" style="100" customWidth="1"/>
    <col min="7445" max="7445" width="11.85546875" style="100" customWidth="1"/>
    <col min="7446" max="7446" width="0" style="100" hidden="1" customWidth="1"/>
    <col min="7447" max="7447" width="12.28515625" style="100" bestFit="1" customWidth="1"/>
    <col min="7448" max="7448" width="13.5703125" style="100" bestFit="1" customWidth="1"/>
    <col min="7449" max="7449" width="13.7109375" style="100" bestFit="1" customWidth="1"/>
    <col min="7450" max="7450" width="9.28515625" style="100" bestFit="1" customWidth="1"/>
    <col min="7451" max="7452" width="9.140625" style="100" bestFit="1" customWidth="1"/>
    <col min="7453" max="7458" width="8.85546875" style="100"/>
    <col min="7459" max="7460" width="9.140625" style="100" bestFit="1" customWidth="1"/>
    <col min="7461" max="7680" width="8.85546875" style="100"/>
    <col min="7681" max="7681" width="6.42578125" style="100" customWidth="1"/>
    <col min="7682" max="7682" width="61.42578125" style="100" customWidth="1"/>
    <col min="7683" max="7685" width="0" style="100" hidden="1" customWidth="1"/>
    <col min="7686" max="7686" width="14.42578125" style="100" customWidth="1"/>
    <col min="7687" max="7687" width="14.7109375" style="100" customWidth="1"/>
    <col min="7688" max="7688" width="15.140625" style="100" customWidth="1"/>
    <col min="7689" max="7689" width="13.5703125" style="100" customWidth="1"/>
    <col min="7690" max="7693" width="0" style="100" hidden="1" customWidth="1"/>
    <col min="7694" max="7694" width="12.28515625" style="100" customWidth="1"/>
    <col min="7695" max="7695" width="12.140625" style="100" customWidth="1"/>
    <col min="7696" max="7697" width="0" style="100" hidden="1" customWidth="1"/>
    <col min="7698" max="7698" width="12" style="100" customWidth="1"/>
    <col min="7699" max="7699" width="12.42578125" style="100" customWidth="1"/>
    <col min="7700" max="7700" width="11.5703125" style="100" customWidth="1"/>
    <col min="7701" max="7701" width="11.85546875" style="100" customWidth="1"/>
    <col min="7702" max="7702" width="0" style="100" hidden="1" customWidth="1"/>
    <col min="7703" max="7703" width="12.28515625" style="100" bestFit="1" customWidth="1"/>
    <col min="7704" max="7704" width="13.5703125" style="100" bestFit="1" customWidth="1"/>
    <col min="7705" max="7705" width="13.7109375" style="100" bestFit="1" customWidth="1"/>
    <col min="7706" max="7706" width="9.28515625" style="100" bestFit="1" customWidth="1"/>
    <col min="7707" max="7708" width="9.140625" style="100" bestFit="1" customWidth="1"/>
    <col min="7709" max="7714" width="8.85546875" style="100"/>
    <col min="7715" max="7716" width="9.140625" style="100" bestFit="1" customWidth="1"/>
    <col min="7717" max="7936" width="8.85546875" style="100"/>
    <col min="7937" max="7937" width="6.42578125" style="100" customWidth="1"/>
    <col min="7938" max="7938" width="61.42578125" style="100" customWidth="1"/>
    <col min="7939" max="7941" width="0" style="100" hidden="1" customWidth="1"/>
    <col min="7942" max="7942" width="14.42578125" style="100" customWidth="1"/>
    <col min="7943" max="7943" width="14.7109375" style="100" customWidth="1"/>
    <col min="7944" max="7944" width="15.140625" style="100" customWidth="1"/>
    <col min="7945" max="7945" width="13.5703125" style="100" customWidth="1"/>
    <col min="7946" max="7949" width="0" style="100" hidden="1" customWidth="1"/>
    <col min="7950" max="7950" width="12.28515625" style="100" customWidth="1"/>
    <col min="7951" max="7951" width="12.140625" style="100" customWidth="1"/>
    <col min="7952" max="7953" width="0" style="100" hidden="1" customWidth="1"/>
    <col min="7954" max="7954" width="12" style="100" customWidth="1"/>
    <col min="7955" max="7955" width="12.42578125" style="100" customWidth="1"/>
    <col min="7956" max="7956" width="11.5703125" style="100" customWidth="1"/>
    <col min="7957" max="7957" width="11.85546875" style="100" customWidth="1"/>
    <col min="7958" max="7958" width="0" style="100" hidden="1" customWidth="1"/>
    <col min="7959" max="7959" width="12.28515625" style="100" bestFit="1" customWidth="1"/>
    <col min="7960" max="7960" width="13.5703125" style="100" bestFit="1" customWidth="1"/>
    <col min="7961" max="7961" width="13.7109375" style="100" bestFit="1" customWidth="1"/>
    <col min="7962" max="7962" width="9.28515625" style="100" bestFit="1" customWidth="1"/>
    <col min="7963" max="7964" width="9.140625" style="100" bestFit="1" customWidth="1"/>
    <col min="7965" max="7970" width="8.85546875" style="100"/>
    <col min="7971" max="7972" width="9.140625" style="100" bestFit="1" customWidth="1"/>
    <col min="7973" max="8192" width="8.85546875" style="100"/>
    <col min="8193" max="8193" width="6.42578125" style="100" customWidth="1"/>
    <col min="8194" max="8194" width="61.42578125" style="100" customWidth="1"/>
    <col min="8195" max="8197" width="0" style="100" hidden="1" customWidth="1"/>
    <col min="8198" max="8198" width="14.42578125" style="100" customWidth="1"/>
    <col min="8199" max="8199" width="14.7109375" style="100" customWidth="1"/>
    <col min="8200" max="8200" width="15.140625" style="100" customWidth="1"/>
    <col min="8201" max="8201" width="13.5703125" style="100" customWidth="1"/>
    <col min="8202" max="8205" width="0" style="100" hidden="1" customWidth="1"/>
    <col min="8206" max="8206" width="12.28515625" style="100" customWidth="1"/>
    <col min="8207" max="8207" width="12.140625" style="100" customWidth="1"/>
    <col min="8208" max="8209" width="0" style="100" hidden="1" customWidth="1"/>
    <col min="8210" max="8210" width="12" style="100" customWidth="1"/>
    <col min="8211" max="8211" width="12.42578125" style="100" customWidth="1"/>
    <col min="8212" max="8212" width="11.5703125" style="100" customWidth="1"/>
    <col min="8213" max="8213" width="11.85546875" style="100" customWidth="1"/>
    <col min="8214" max="8214" width="0" style="100" hidden="1" customWidth="1"/>
    <col min="8215" max="8215" width="12.28515625" style="100" bestFit="1" customWidth="1"/>
    <col min="8216" max="8216" width="13.5703125" style="100" bestFit="1" customWidth="1"/>
    <col min="8217" max="8217" width="13.7109375" style="100" bestFit="1" customWidth="1"/>
    <col min="8218" max="8218" width="9.28515625" style="100" bestFit="1" customWidth="1"/>
    <col min="8219" max="8220" width="9.140625" style="100" bestFit="1" customWidth="1"/>
    <col min="8221" max="8226" width="8.85546875" style="100"/>
    <col min="8227" max="8228" width="9.140625" style="100" bestFit="1" customWidth="1"/>
    <col min="8229" max="8448" width="8.85546875" style="100"/>
    <col min="8449" max="8449" width="6.42578125" style="100" customWidth="1"/>
    <col min="8450" max="8450" width="61.42578125" style="100" customWidth="1"/>
    <col min="8451" max="8453" width="0" style="100" hidden="1" customWidth="1"/>
    <col min="8454" max="8454" width="14.42578125" style="100" customWidth="1"/>
    <col min="8455" max="8455" width="14.7109375" style="100" customWidth="1"/>
    <col min="8456" max="8456" width="15.140625" style="100" customWidth="1"/>
    <col min="8457" max="8457" width="13.5703125" style="100" customWidth="1"/>
    <col min="8458" max="8461" width="0" style="100" hidden="1" customWidth="1"/>
    <col min="8462" max="8462" width="12.28515625" style="100" customWidth="1"/>
    <col min="8463" max="8463" width="12.140625" style="100" customWidth="1"/>
    <col min="8464" max="8465" width="0" style="100" hidden="1" customWidth="1"/>
    <col min="8466" max="8466" width="12" style="100" customWidth="1"/>
    <col min="8467" max="8467" width="12.42578125" style="100" customWidth="1"/>
    <col min="8468" max="8468" width="11.5703125" style="100" customWidth="1"/>
    <col min="8469" max="8469" width="11.85546875" style="100" customWidth="1"/>
    <col min="8470" max="8470" width="0" style="100" hidden="1" customWidth="1"/>
    <col min="8471" max="8471" width="12.28515625" style="100" bestFit="1" customWidth="1"/>
    <col min="8472" max="8472" width="13.5703125" style="100" bestFit="1" customWidth="1"/>
    <col min="8473" max="8473" width="13.7109375" style="100" bestFit="1" customWidth="1"/>
    <col min="8474" max="8474" width="9.28515625" style="100" bestFit="1" customWidth="1"/>
    <col min="8475" max="8476" width="9.140625" style="100" bestFit="1" customWidth="1"/>
    <col min="8477" max="8482" width="8.85546875" style="100"/>
    <col min="8483" max="8484" width="9.140625" style="100" bestFit="1" customWidth="1"/>
    <col min="8485" max="8704" width="8.85546875" style="100"/>
    <col min="8705" max="8705" width="6.42578125" style="100" customWidth="1"/>
    <col min="8706" max="8706" width="61.42578125" style="100" customWidth="1"/>
    <col min="8707" max="8709" width="0" style="100" hidden="1" customWidth="1"/>
    <col min="8710" max="8710" width="14.42578125" style="100" customWidth="1"/>
    <col min="8711" max="8711" width="14.7109375" style="100" customWidth="1"/>
    <col min="8712" max="8712" width="15.140625" style="100" customWidth="1"/>
    <col min="8713" max="8713" width="13.5703125" style="100" customWidth="1"/>
    <col min="8714" max="8717" width="0" style="100" hidden="1" customWidth="1"/>
    <col min="8718" max="8718" width="12.28515625" style="100" customWidth="1"/>
    <col min="8719" max="8719" width="12.140625" style="100" customWidth="1"/>
    <col min="8720" max="8721" width="0" style="100" hidden="1" customWidth="1"/>
    <col min="8722" max="8722" width="12" style="100" customWidth="1"/>
    <col min="8723" max="8723" width="12.42578125" style="100" customWidth="1"/>
    <col min="8724" max="8724" width="11.5703125" style="100" customWidth="1"/>
    <col min="8725" max="8725" width="11.85546875" style="100" customWidth="1"/>
    <col min="8726" max="8726" width="0" style="100" hidden="1" customWidth="1"/>
    <col min="8727" max="8727" width="12.28515625" style="100" bestFit="1" customWidth="1"/>
    <col min="8728" max="8728" width="13.5703125" style="100" bestFit="1" customWidth="1"/>
    <col min="8729" max="8729" width="13.7109375" style="100" bestFit="1" customWidth="1"/>
    <col min="8730" max="8730" width="9.28515625" style="100" bestFit="1" customWidth="1"/>
    <col min="8731" max="8732" width="9.140625" style="100" bestFit="1" customWidth="1"/>
    <col min="8733" max="8738" width="8.85546875" style="100"/>
    <col min="8739" max="8740" width="9.140625" style="100" bestFit="1" customWidth="1"/>
    <col min="8741" max="8960" width="8.85546875" style="100"/>
    <col min="8961" max="8961" width="6.42578125" style="100" customWidth="1"/>
    <col min="8962" max="8962" width="61.42578125" style="100" customWidth="1"/>
    <col min="8963" max="8965" width="0" style="100" hidden="1" customWidth="1"/>
    <col min="8966" max="8966" width="14.42578125" style="100" customWidth="1"/>
    <col min="8967" max="8967" width="14.7109375" style="100" customWidth="1"/>
    <col min="8968" max="8968" width="15.140625" style="100" customWidth="1"/>
    <col min="8969" max="8969" width="13.5703125" style="100" customWidth="1"/>
    <col min="8970" max="8973" width="0" style="100" hidden="1" customWidth="1"/>
    <col min="8974" max="8974" width="12.28515625" style="100" customWidth="1"/>
    <col min="8975" max="8975" width="12.140625" style="100" customWidth="1"/>
    <col min="8976" max="8977" width="0" style="100" hidden="1" customWidth="1"/>
    <col min="8978" max="8978" width="12" style="100" customWidth="1"/>
    <col min="8979" max="8979" width="12.42578125" style="100" customWidth="1"/>
    <col min="8980" max="8980" width="11.5703125" style="100" customWidth="1"/>
    <col min="8981" max="8981" width="11.85546875" style="100" customWidth="1"/>
    <col min="8982" max="8982" width="0" style="100" hidden="1" customWidth="1"/>
    <col min="8983" max="8983" width="12.28515625" style="100" bestFit="1" customWidth="1"/>
    <col min="8984" max="8984" width="13.5703125" style="100" bestFit="1" customWidth="1"/>
    <col min="8985" max="8985" width="13.7109375" style="100" bestFit="1" customWidth="1"/>
    <col min="8986" max="8986" width="9.28515625" style="100" bestFit="1" customWidth="1"/>
    <col min="8987" max="8988" width="9.140625" style="100" bestFit="1" customWidth="1"/>
    <col min="8989" max="8994" width="8.85546875" style="100"/>
    <col min="8995" max="8996" width="9.140625" style="100" bestFit="1" customWidth="1"/>
    <col min="8997" max="9216" width="8.85546875" style="100"/>
    <col min="9217" max="9217" width="6.42578125" style="100" customWidth="1"/>
    <col min="9218" max="9218" width="61.42578125" style="100" customWidth="1"/>
    <col min="9219" max="9221" width="0" style="100" hidden="1" customWidth="1"/>
    <col min="9222" max="9222" width="14.42578125" style="100" customWidth="1"/>
    <col min="9223" max="9223" width="14.7109375" style="100" customWidth="1"/>
    <col min="9224" max="9224" width="15.140625" style="100" customWidth="1"/>
    <col min="9225" max="9225" width="13.5703125" style="100" customWidth="1"/>
    <col min="9226" max="9229" width="0" style="100" hidden="1" customWidth="1"/>
    <col min="9230" max="9230" width="12.28515625" style="100" customWidth="1"/>
    <col min="9231" max="9231" width="12.140625" style="100" customWidth="1"/>
    <col min="9232" max="9233" width="0" style="100" hidden="1" customWidth="1"/>
    <col min="9234" max="9234" width="12" style="100" customWidth="1"/>
    <col min="9235" max="9235" width="12.42578125" style="100" customWidth="1"/>
    <col min="9236" max="9236" width="11.5703125" style="100" customWidth="1"/>
    <col min="9237" max="9237" width="11.85546875" style="100" customWidth="1"/>
    <col min="9238" max="9238" width="0" style="100" hidden="1" customWidth="1"/>
    <col min="9239" max="9239" width="12.28515625" style="100" bestFit="1" customWidth="1"/>
    <col min="9240" max="9240" width="13.5703125" style="100" bestFit="1" customWidth="1"/>
    <col min="9241" max="9241" width="13.7109375" style="100" bestFit="1" customWidth="1"/>
    <col min="9242" max="9242" width="9.28515625" style="100" bestFit="1" customWidth="1"/>
    <col min="9243" max="9244" width="9.140625" style="100" bestFit="1" customWidth="1"/>
    <col min="9245" max="9250" width="8.85546875" style="100"/>
    <col min="9251" max="9252" width="9.140625" style="100" bestFit="1" customWidth="1"/>
    <col min="9253" max="9472" width="8.85546875" style="100"/>
    <col min="9473" max="9473" width="6.42578125" style="100" customWidth="1"/>
    <col min="9474" max="9474" width="61.42578125" style="100" customWidth="1"/>
    <col min="9475" max="9477" width="0" style="100" hidden="1" customWidth="1"/>
    <col min="9478" max="9478" width="14.42578125" style="100" customWidth="1"/>
    <col min="9479" max="9479" width="14.7109375" style="100" customWidth="1"/>
    <col min="9480" max="9480" width="15.140625" style="100" customWidth="1"/>
    <col min="9481" max="9481" width="13.5703125" style="100" customWidth="1"/>
    <col min="9482" max="9485" width="0" style="100" hidden="1" customWidth="1"/>
    <col min="9486" max="9486" width="12.28515625" style="100" customWidth="1"/>
    <col min="9487" max="9487" width="12.140625" style="100" customWidth="1"/>
    <col min="9488" max="9489" width="0" style="100" hidden="1" customWidth="1"/>
    <col min="9490" max="9490" width="12" style="100" customWidth="1"/>
    <col min="9491" max="9491" width="12.42578125" style="100" customWidth="1"/>
    <col min="9492" max="9492" width="11.5703125" style="100" customWidth="1"/>
    <col min="9493" max="9493" width="11.85546875" style="100" customWidth="1"/>
    <col min="9494" max="9494" width="0" style="100" hidden="1" customWidth="1"/>
    <col min="9495" max="9495" width="12.28515625" style="100" bestFit="1" customWidth="1"/>
    <col min="9496" max="9496" width="13.5703125" style="100" bestFit="1" customWidth="1"/>
    <col min="9497" max="9497" width="13.7109375" style="100" bestFit="1" customWidth="1"/>
    <col min="9498" max="9498" width="9.28515625" style="100" bestFit="1" customWidth="1"/>
    <col min="9499" max="9500" width="9.140625" style="100" bestFit="1" customWidth="1"/>
    <col min="9501" max="9506" width="8.85546875" style="100"/>
    <col min="9507" max="9508" width="9.140625" style="100" bestFit="1" customWidth="1"/>
    <col min="9509" max="9728" width="8.85546875" style="100"/>
    <col min="9729" max="9729" width="6.42578125" style="100" customWidth="1"/>
    <col min="9730" max="9730" width="61.42578125" style="100" customWidth="1"/>
    <col min="9731" max="9733" width="0" style="100" hidden="1" customWidth="1"/>
    <col min="9734" max="9734" width="14.42578125" style="100" customWidth="1"/>
    <col min="9735" max="9735" width="14.7109375" style="100" customWidth="1"/>
    <col min="9736" max="9736" width="15.140625" style="100" customWidth="1"/>
    <col min="9737" max="9737" width="13.5703125" style="100" customWidth="1"/>
    <col min="9738" max="9741" width="0" style="100" hidden="1" customWidth="1"/>
    <col min="9742" max="9742" width="12.28515625" style="100" customWidth="1"/>
    <col min="9743" max="9743" width="12.140625" style="100" customWidth="1"/>
    <col min="9744" max="9745" width="0" style="100" hidden="1" customWidth="1"/>
    <col min="9746" max="9746" width="12" style="100" customWidth="1"/>
    <col min="9747" max="9747" width="12.42578125" style="100" customWidth="1"/>
    <col min="9748" max="9748" width="11.5703125" style="100" customWidth="1"/>
    <col min="9749" max="9749" width="11.85546875" style="100" customWidth="1"/>
    <col min="9750" max="9750" width="0" style="100" hidden="1" customWidth="1"/>
    <col min="9751" max="9751" width="12.28515625" style="100" bestFit="1" customWidth="1"/>
    <col min="9752" max="9752" width="13.5703125" style="100" bestFit="1" customWidth="1"/>
    <col min="9753" max="9753" width="13.7109375" style="100" bestFit="1" customWidth="1"/>
    <col min="9754" max="9754" width="9.28515625" style="100" bestFit="1" customWidth="1"/>
    <col min="9755" max="9756" width="9.140625" style="100" bestFit="1" customWidth="1"/>
    <col min="9757" max="9762" width="8.85546875" style="100"/>
    <col min="9763" max="9764" width="9.140625" style="100" bestFit="1" customWidth="1"/>
    <col min="9765" max="9984" width="8.85546875" style="100"/>
    <col min="9985" max="9985" width="6.42578125" style="100" customWidth="1"/>
    <col min="9986" max="9986" width="61.42578125" style="100" customWidth="1"/>
    <col min="9987" max="9989" width="0" style="100" hidden="1" customWidth="1"/>
    <col min="9990" max="9990" width="14.42578125" style="100" customWidth="1"/>
    <col min="9991" max="9991" width="14.7109375" style="100" customWidth="1"/>
    <col min="9992" max="9992" width="15.140625" style="100" customWidth="1"/>
    <col min="9993" max="9993" width="13.5703125" style="100" customWidth="1"/>
    <col min="9994" max="9997" width="0" style="100" hidden="1" customWidth="1"/>
    <col min="9998" max="9998" width="12.28515625" style="100" customWidth="1"/>
    <col min="9999" max="9999" width="12.140625" style="100" customWidth="1"/>
    <col min="10000" max="10001" width="0" style="100" hidden="1" customWidth="1"/>
    <col min="10002" max="10002" width="12" style="100" customWidth="1"/>
    <col min="10003" max="10003" width="12.42578125" style="100" customWidth="1"/>
    <col min="10004" max="10004" width="11.5703125" style="100" customWidth="1"/>
    <col min="10005" max="10005" width="11.85546875" style="100" customWidth="1"/>
    <col min="10006" max="10006" width="0" style="100" hidden="1" customWidth="1"/>
    <col min="10007" max="10007" width="12.28515625" style="100" bestFit="1" customWidth="1"/>
    <col min="10008" max="10008" width="13.5703125" style="100" bestFit="1" customWidth="1"/>
    <col min="10009" max="10009" width="13.7109375" style="100" bestFit="1" customWidth="1"/>
    <col min="10010" max="10010" width="9.28515625" style="100" bestFit="1" customWidth="1"/>
    <col min="10011" max="10012" width="9.140625" style="100" bestFit="1" customWidth="1"/>
    <col min="10013" max="10018" width="8.85546875" style="100"/>
    <col min="10019" max="10020" width="9.140625" style="100" bestFit="1" customWidth="1"/>
    <col min="10021" max="10240" width="8.85546875" style="100"/>
    <col min="10241" max="10241" width="6.42578125" style="100" customWidth="1"/>
    <col min="10242" max="10242" width="61.42578125" style="100" customWidth="1"/>
    <col min="10243" max="10245" width="0" style="100" hidden="1" customWidth="1"/>
    <col min="10246" max="10246" width="14.42578125" style="100" customWidth="1"/>
    <col min="10247" max="10247" width="14.7109375" style="100" customWidth="1"/>
    <col min="10248" max="10248" width="15.140625" style="100" customWidth="1"/>
    <col min="10249" max="10249" width="13.5703125" style="100" customWidth="1"/>
    <col min="10250" max="10253" width="0" style="100" hidden="1" customWidth="1"/>
    <col min="10254" max="10254" width="12.28515625" style="100" customWidth="1"/>
    <col min="10255" max="10255" width="12.140625" style="100" customWidth="1"/>
    <col min="10256" max="10257" width="0" style="100" hidden="1" customWidth="1"/>
    <col min="10258" max="10258" width="12" style="100" customWidth="1"/>
    <col min="10259" max="10259" width="12.42578125" style="100" customWidth="1"/>
    <col min="10260" max="10260" width="11.5703125" style="100" customWidth="1"/>
    <col min="10261" max="10261" width="11.85546875" style="100" customWidth="1"/>
    <col min="10262" max="10262" width="0" style="100" hidden="1" customWidth="1"/>
    <col min="10263" max="10263" width="12.28515625" style="100" bestFit="1" customWidth="1"/>
    <col min="10264" max="10264" width="13.5703125" style="100" bestFit="1" customWidth="1"/>
    <col min="10265" max="10265" width="13.7109375" style="100" bestFit="1" customWidth="1"/>
    <col min="10266" max="10266" width="9.28515625" style="100" bestFit="1" customWidth="1"/>
    <col min="10267" max="10268" width="9.140625" style="100" bestFit="1" customWidth="1"/>
    <col min="10269" max="10274" width="8.85546875" style="100"/>
    <col min="10275" max="10276" width="9.140625" style="100" bestFit="1" customWidth="1"/>
    <col min="10277" max="10496" width="8.85546875" style="100"/>
    <col min="10497" max="10497" width="6.42578125" style="100" customWidth="1"/>
    <col min="10498" max="10498" width="61.42578125" style="100" customWidth="1"/>
    <col min="10499" max="10501" width="0" style="100" hidden="1" customWidth="1"/>
    <col min="10502" max="10502" width="14.42578125" style="100" customWidth="1"/>
    <col min="10503" max="10503" width="14.7109375" style="100" customWidth="1"/>
    <col min="10504" max="10504" width="15.140625" style="100" customWidth="1"/>
    <col min="10505" max="10505" width="13.5703125" style="100" customWidth="1"/>
    <col min="10506" max="10509" width="0" style="100" hidden="1" customWidth="1"/>
    <col min="10510" max="10510" width="12.28515625" style="100" customWidth="1"/>
    <col min="10511" max="10511" width="12.140625" style="100" customWidth="1"/>
    <col min="10512" max="10513" width="0" style="100" hidden="1" customWidth="1"/>
    <col min="10514" max="10514" width="12" style="100" customWidth="1"/>
    <col min="10515" max="10515" width="12.42578125" style="100" customWidth="1"/>
    <col min="10516" max="10516" width="11.5703125" style="100" customWidth="1"/>
    <col min="10517" max="10517" width="11.85546875" style="100" customWidth="1"/>
    <col min="10518" max="10518" width="0" style="100" hidden="1" customWidth="1"/>
    <col min="10519" max="10519" width="12.28515625" style="100" bestFit="1" customWidth="1"/>
    <col min="10520" max="10520" width="13.5703125" style="100" bestFit="1" customWidth="1"/>
    <col min="10521" max="10521" width="13.7109375" style="100" bestFit="1" customWidth="1"/>
    <col min="10522" max="10522" width="9.28515625" style="100" bestFit="1" customWidth="1"/>
    <col min="10523" max="10524" width="9.140625" style="100" bestFit="1" customWidth="1"/>
    <col min="10525" max="10530" width="8.85546875" style="100"/>
    <col min="10531" max="10532" width="9.140625" style="100" bestFit="1" customWidth="1"/>
    <col min="10533" max="10752" width="8.85546875" style="100"/>
    <col min="10753" max="10753" width="6.42578125" style="100" customWidth="1"/>
    <col min="10754" max="10754" width="61.42578125" style="100" customWidth="1"/>
    <col min="10755" max="10757" width="0" style="100" hidden="1" customWidth="1"/>
    <col min="10758" max="10758" width="14.42578125" style="100" customWidth="1"/>
    <col min="10759" max="10759" width="14.7109375" style="100" customWidth="1"/>
    <col min="10760" max="10760" width="15.140625" style="100" customWidth="1"/>
    <col min="10761" max="10761" width="13.5703125" style="100" customWidth="1"/>
    <col min="10762" max="10765" width="0" style="100" hidden="1" customWidth="1"/>
    <col min="10766" max="10766" width="12.28515625" style="100" customWidth="1"/>
    <col min="10767" max="10767" width="12.140625" style="100" customWidth="1"/>
    <col min="10768" max="10769" width="0" style="100" hidden="1" customWidth="1"/>
    <col min="10770" max="10770" width="12" style="100" customWidth="1"/>
    <col min="10771" max="10771" width="12.42578125" style="100" customWidth="1"/>
    <col min="10772" max="10772" width="11.5703125" style="100" customWidth="1"/>
    <col min="10773" max="10773" width="11.85546875" style="100" customWidth="1"/>
    <col min="10774" max="10774" width="0" style="100" hidden="1" customWidth="1"/>
    <col min="10775" max="10775" width="12.28515625" style="100" bestFit="1" customWidth="1"/>
    <col min="10776" max="10776" width="13.5703125" style="100" bestFit="1" customWidth="1"/>
    <col min="10777" max="10777" width="13.7109375" style="100" bestFit="1" customWidth="1"/>
    <col min="10778" max="10778" width="9.28515625" style="100" bestFit="1" customWidth="1"/>
    <col min="10779" max="10780" width="9.140625" style="100" bestFit="1" customWidth="1"/>
    <col min="10781" max="10786" width="8.85546875" style="100"/>
    <col min="10787" max="10788" width="9.140625" style="100" bestFit="1" customWidth="1"/>
    <col min="10789" max="11008" width="8.85546875" style="100"/>
    <col min="11009" max="11009" width="6.42578125" style="100" customWidth="1"/>
    <col min="11010" max="11010" width="61.42578125" style="100" customWidth="1"/>
    <col min="11011" max="11013" width="0" style="100" hidden="1" customWidth="1"/>
    <col min="11014" max="11014" width="14.42578125" style="100" customWidth="1"/>
    <col min="11015" max="11015" width="14.7109375" style="100" customWidth="1"/>
    <col min="11016" max="11016" width="15.140625" style="100" customWidth="1"/>
    <col min="11017" max="11017" width="13.5703125" style="100" customWidth="1"/>
    <col min="11018" max="11021" width="0" style="100" hidden="1" customWidth="1"/>
    <col min="11022" max="11022" width="12.28515625" style="100" customWidth="1"/>
    <col min="11023" max="11023" width="12.140625" style="100" customWidth="1"/>
    <col min="11024" max="11025" width="0" style="100" hidden="1" customWidth="1"/>
    <col min="11026" max="11026" width="12" style="100" customWidth="1"/>
    <col min="11027" max="11027" width="12.42578125" style="100" customWidth="1"/>
    <col min="11028" max="11028" width="11.5703125" style="100" customWidth="1"/>
    <col min="11029" max="11029" width="11.85546875" style="100" customWidth="1"/>
    <col min="11030" max="11030" width="0" style="100" hidden="1" customWidth="1"/>
    <col min="11031" max="11031" width="12.28515625" style="100" bestFit="1" customWidth="1"/>
    <col min="11032" max="11032" width="13.5703125" style="100" bestFit="1" customWidth="1"/>
    <col min="11033" max="11033" width="13.7109375" style="100" bestFit="1" customWidth="1"/>
    <col min="11034" max="11034" width="9.28515625" style="100" bestFit="1" customWidth="1"/>
    <col min="11035" max="11036" width="9.140625" style="100" bestFit="1" customWidth="1"/>
    <col min="11037" max="11042" width="8.85546875" style="100"/>
    <col min="11043" max="11044" width="9.140625" style="100" bestFit="1" customWidth="1"/>
    <col min="11045" max="11264" width="8.85546875" style="100"/>
    <col min="11265" max="11265" width="6.42578125" style="100" customWidth="1"/>
    <col min="11266" max="11266" width="61.42578125" style="100" customWidth="1"/>
    <col min="11267" max="11269" width="0" style="100" hidden="1" customWidth="1"/>
    <col min="11270" max="11270" width="14.42578125" style="100" customWidth="1"/>
    <col min="11271" max="11271" width="14.7109375" style="100" customWidth="1"/>
    <col min="11272" max="11272" width="15.140625" style="100" customWidth="1"/>
    <col min="11273" max="11273" width="13.5703125" style="100" customWidth="1"/>
    <col min="11274" max="11277" width="0" style="100" hidden="1" customWidth="1"/>
    <col min="11278" max="11278" width="12.28515625" style="100" customWidth="1"/>
    <col min="11279" max="11279" width="12.140625" style="100" customWidth="1"/>
    <col min="11280" max="11281" width="0" style="100" hidden="1" customWidth="1"/>
    <col min="11282" max="11282" width="12" style="100" customWidth="1"/>
    <col min="11283" max="11283" width="12.42578125" style="100" customWidth="1"/>
    <col min="11284" max="11284" width="11.5703125" style="100" customWidth="1"/>
    <col min="11285" max="11285" width="11.85546875" style="100" customWidth="1"/>
    <col min="11286" max="11286" width="0" style="100" hidden="1" customWidth="1"/>
    <col min="11287" max="11287" width="12.28515625" style="100" bestFit="1" customWidth="1"/>
    <col min="11288" max="11288" width="13.5703125" style="100" bestFit="1" customWidth="1"/>
    <col min="11289" max="11289" width="13.7109375" style="100" bestFit="1" customWidth="1"/>
    <col min="11290" max="11290" width="9.28515625" style="100" bestFit="1" customWidth="1"/>
    <col min="11291" max="11292" width="9.140625" style="100" bestFit="1" customWidth="1"/>
    <col min="11293" max="11298" width="8.85546875" style="100"/>
    <col min="11299" max="11300" width="9.140625" style="100" bestFit="1" customWidth="1"/>
    <col min="11301" max="11520" width="8.85546875" style="100"/>
    <col min="11521" max="11521" width="6.42578125" style="100" customWidth="1"/>
    <col min="11522" max="11522" width="61.42578125" style="100" customWidth="1"/>
    <col min="11523" max="11525" width="0" style="100" hidden="1" customWidth="1"/>
    <col min="11526" max="11526" width="14.42578125" style="100" customWidth="1"/>
    <col min="11527" max="11527" width="14.7109375" style="100" customWidth="1"/>
    <col min="11528" max="11528" width="15.140625" style="100" customWidth="1"/>
    <col min="11529" max="11529" width="13.5703125" style="100" customWidth="1"/>
    <col min="11530" max="11533" width="0" style="100" hidden="1" customWidth="1"/>
    <col min="11534" max="11534" width="12.28515625" style="100" customWidth="1"/>
    <col min="11535" max="11535" width="12.140625" style="100" customWidth="1"/>
    <col min="11536" max="11537" width="0" style="100" hidden="1" customWidth="1"/>
    <col min="11538" max="11538" width="12" style="100" customWidth="1"/>
    <col min="11539" max="11539" width="12.42578125" style="100" customWidth="1"/>
    <col min="11540" max="11540" width="11.5703125" style="100" customWidth="1"/>
    <col min="11541" max="11541" width="11.85546875" style="100" customWidth="1"/>
    <col min="11542" max="11542" width="0" style="100" hidden="1" customWidth="1"/>
    <col min="11543" max="11543" width="12.28515625" style="100" bestFit="1" customWidth="1"/>
    <col min="11544" max="11544" width="13.5703125" style="100" bestFit="1" customWidth="1"/>
    <col min="11545" max="11545" width="13.7109375" style="100" bestFit="1" customWidth="1"/>
    <col min="11546" max="11546" width="9.28515625" style="100" bestFit="1" customWidth="1"/>
    <col min="11547" max="11548" width="9.140625" style="100" bestFit="1" customWidth="1"/>
    <col min="11549" max="11554" width="8.85546875" style="100"/>
    <col min="11555" max="11556" width="9.140625" style="100" bestFit="1" customWidth="1"/>
    <col min="11557" max="11776" width="8.85546875" style="100"/>
    <col min="11777" max="11777" width="6.42578125" style="100" customWidth="1"/>
    <col min="11778" max="11778" width="61.42578125" style="100" customWidth="1"/>
    <col min="11779" max="11781" width="0" style="100" hidden="1" customWidth="1"/>
    <col min="11782" max="11782" width="14.42578125" style="100" customWidth="1"/>
    <col min="11783" max="11783" width="14.7109375" style="100" customWidth="1"/>
    <col min="11784" max="11784" width="15.140625" style="100" customWidth="1"/>
    <col min="11785" max="11785" width="13.5703125" style="100" customWidth="1"/>
    <col min="11786" max="11789" width="0" style="100" hidden="1" customWidth="1"/>
    <col min="11790" max="11790" width="12.28515625" style="100" customWidth="1"/>
    <col min="11791" max="11791" width="12.140625" style="100" customWidth="1"/>
    <col min="11792" max="11793" width="0" style="100" hidden="1" customWidth="1"/>
    <col min="11794" max="11794" width="12" style="100" customWidth="1"/>
    <col min="11795" max="11795" width="12.42578125" style="100" customWidth="1"/>
    <col min="11796" max="11796" width="11.5703125" style="100" customWidth="1"/>
    <col min="11797" max="11797" width="11.85546875" style="100" customWidth="1"/>
    <col min="11798" max="11798" width="0" style="100" hidden="1" customWidth="1"/>
    <col min="11799" max="11799" width="12.28515625" style="100" bestFit="1" customWidth="1"/>
    <col min="11800" max="11800" width="13.5703125" style="100" bestFit="1" customWidth="1"/>
    <col min="11801" max="11801" width="13.7109375" style="100" bestFit="1" customWidth="1"/>
    <col min="11802" max="11802" width="9.28515625" style="100" bestFit="1" customWidth="1"/>
    <col min="11803" max="11804" width="9.140625" style="100" bestFit="1" customWidth="1"/>
    <col min="11805" max="11810" width="8.85546875" style="100"/>
    <col min="11811" max="11812" width="9.140625" style="100" bestFit="1" customWidth="1"/>
    <col min="11813" max="12032" width="8.85546875" style="100"/>
    <col min="12033" max="12033" width="6.42578125" style="100" customWidth="1"/>
    <col min="12034" max="12034" width="61.42578125" style="100" customWidth="1"/>
    <col min="12035" max="12037" width="0" style="100" hidden="1" customWidth="1"/>
    <col min="12038" max="12038" width="14.42578125" style="100" customWidth="1"/>
    <col min="12039" max="12039" width="14.7109375" style="100" customWidth="1"/>
    <col min="12040" max="12040" width="15.140625" style="100" customWidth="1"/>
    <col min="12041" max="12041" width="13.5703125" style="100" customWidth="1"/>
    <col min="12042" max="12045" width="0" style="100" hidden="1" customWidth="1"/>
    <col min="12046" max="12046" width="12.28515625" style="100" customWidth="1"/>
    <col min="12047" max="12047" width="12.140625" style="100" customWidth="1"/>
    <col min="12048" max="12049" width="0" style="100" hidden="1" customWidth="1"/>
    <col min="12050" max="12050" width="12" style="100" customWidth="1"/>
    <col min="12051" max="12051" width="12.42578125" style="100" customWidth="1"/>
    <col min="12052" max="12052" width="11.5703125" style="100" customWidth="1"/>
    <col min="12053" max="12053" width="11.85546875" style="100" customWidth="1"/>
    <col min="12054" max="12054" width="0" style="100" hidden="1" customWidth="1"/>
    <col min="12055" max="12055" width="12.28515625" style="100" bestFit="1" customWidth="1"/>
    <col min="12056" max="12056" width="13.5703125" style="100" bestFit="1" customWidth="1"/>
    <col min="12057" max="12057" width="13.7109375" style="100" bestFit="1" customWidth="1"/>
    <col min="12058" max="12058" width="9.28515625" style="100" bestFit="1" customWidth="1"/>
    <col min="12059" max="12060" width="9.140625" style="100" bestFit="1" customWidth="1"/>
    <col min="12061" max="12066" width="8.85546875" style="100"/>
    <col min="12067" max="12068" width="9.140625" style="100" bestFit="1" customWidth="1"/>
    <col min="12069" max="12288" width="8.85546875" style="100"/>
    <col min="12289" max="12289" width="6.42578125" style="100" customWidth="1"/>
    <col min="12290" max="12290" width="61.42578125" style="100" customWidth="1"/>
    <col min="12291" max="12293" width="0" style="100" hidden="1" customWidth="1"/>
    <col min="12294" max="12294" width="14.42578125" style="100" customWidth="1"/>
    <col min="12295" max="12295" width="14.7109375" style="100" customWidth="1"/>
    <col min="12296" max="12296" width="15.140625" style="100" customWidth="1"/>
    <col min="12297" max="12297" width="13.5703125" style="100" customWidth="1"/>
    <col min="12298" max="12301" width="0" style="100" hidden="1" customWidth="1"/>
    <col min="12302" max="12302" width="12.28515625" style="100" customWidth="1"/>
    <col min="12303" max="12303" width="12.140625" style="100" customWidth="1"/>
    <col min="12304" max="12305" width="0" style="100" hidden="1" customWidth="1"/>
    <col min="12306" max="12306" width="12" style="100" customWidth="1"/>
    <col min="12307" max="12307" width="12.42578125" style="100" customWidth="1"/>
    <col min="12308" max="12308" width="11.5703125" style="100" customWidth="1"/>
    <col min="12309" max="12309" width="11.85546875" style="100" customWidth="1"/>
    <col min="12310" max="12310" width="0" style="100" hidden="1" customWidth="1"/>
    <col min="12311" max="12311" width="12.28515625" style="100" bestFit="1" customWidth="1"/>
    <col min="12312" max="12312" width="13.5703125" style="100" bestFit="1" customWidth="1"/>
    <col min="12313" max="12313" width="13.7109375" style="100" bestFit="1" customWidth="1"/>
    <col min="12314" max="12314" width="9.28515625" style="100" bestFit="1" customWidth="1"/>
    <col min="12315" max="12316" width="9.140625" style="100" bestFit="1" customWidth="1"/>
    <col min="12317" max="12322" width="8.85546875" style="100"/>
    <col min="12323" max="12324" width="9.140625" style="100" bestFit="1" customWidth="1"/>
    <col min="12325" max="12544" width="8.85546875" style="100"/>
    <col min="12545" max="12545" width="6.42578125" style="100" customWidth="1"/>
    <col min="12546" max="12546" width="61.42578125" style="100" customWidth="1"/>
    <col min="12547" max="12549" width="0" style="100" hidden="1" customWidth="1"/>
    <col min="12550" max="12550" width="14.42578125" style="100" customWidth="1"/>
    <col min="12551" max="12551" width="14.7109375" style="100" customWidth="1"/>
    <col min="12552" max="12552" width="15.140625" style="100" customWidth="1"/>
    <col min="12553" max="12553" width="13.5703125" style="100" customWidth="1"/>
    <col min="12554" max="12557" width="0" style="100" hidden="1" customWidth="1"/>
    <col min="12558" max="12558" width="12.28515625" style="100" customWidth="1"/>
    <col min="12559" max="12559" width="12.140625" style="100" customWidth="1"/>
    <col min="12560" max="12561" width="0" style="100" hidden="1" customWidth="1"/>
    <col min="12562" max="12562" width="12" style="100" customWidth="1"/>
    <col min="12563" max="12563" width="12.42578125" style="100" customWidth="1"/>
    <col min="12564" max="12564" width="11.5703125" style="100" customWidth="1"/>
    <col min="12565" max="12565" width="11.85546875" style="100" customWidth="1"/>
    <col min="12566" max="12566" width="0" style="100" hidden="1" customWidth="1"/>
    <col min="12567" max="12567" width="12.28515625" style="100" bestFit="1" customWidth="1"/>
    <col min="12568" max="12568" width="13.5703125" style="100" bestFit="1" customWidth="1"/>
    <col min="12569" max="12569" width="13.7109375" style="100" bestFit="1" customWidth="1"/>
    <col min="12570" max="12570" width="9.28515625" style="100" bestFit="1" customWidth="1"/>
    <col min="12571" max="12572" width="9.140625" style="100" bestFit="1" customWidth="1"/>
    <col min="12573" max="12578" width="8.85546875" style="100"/>
    <col min="12579" max="12580" width="9.140625" style="100" bestFit="1" customWidth="1"/>
    <col min="12581" max="12800" width="8.85546875" style="100"/>
    <col min="12801" max="12801" width="6.42578125" style="100" customWidth="1"/>
    <col min="12802" max="12802" width="61.42578125" style="100" customWidth="1"/>
    <col min="12803" max="12805" width="0" style="100" hidden="1" customWidth="1"/>
    <col min="12806" max="12806" width="14.42578125" style="100" customWidth="1"/>
    <col min="12807" max="12807" width="14.7109375" style="100" customWidth="1"/>
    <col min="12808" max="12808" width="15.140625" style="100" customWidth="1"/>
    <col min="12809" max="12809" width="13.5703125" style="100" customWidth="1"/>
    <col min="12810" max="12813" width="0" style="100" hidden="1" customWidth="1"/>
    <col min="12814" max="12814" width="12.28515625" style="100" customWidth="1"/>
    <col min="12815" max="12815" width="12.140625" style="100" customWidth="1"/>
    <col min="12816" max="12817" width="0" style="100" hidden="1" customWidth="1"/>
    <col min="12818" max="12818" width="12" style="100" customWidth="1"/>
    <col min="12819" max="12819" width="12.42578125" style="100" customWidth="1"/>
    <col min="12820" max="12820" width="11.5703125" style="100" customWidth="1"/>
    <col min="12821" max="12821" width="11.85546875" style="100" customWidth="1"/>
    <col min="12822" max="12822" width="0" style="100" hidden="1" customWidth="1"/>
    <col min="12823" max="12823" width="12.28515625" style="100" bestFit="1" customWidth="1"/>
    <col min="12824" max="12824" width="13.5703125" style="100" bestFit="1" customWidth="1"/>
    <col min="12825" max="12825" width="13.7109375" style="100" bestFit="1" customWidth="1"/>
    <col min="12826" max="12826" width="9.28515625" style="100" bestFit="1" customWidth="1"/>
    <col min="12827" max="12828" width="9.140625" style="100" bestFit="1" customWidth="1"/>
    <col min="12829" max="12834" width="8.85546875" style="100"/>
    <col min="12835" max="12836" width="9.140625" style="100" bestFit="1" customWidth="1"/>
    <col min="12837" max="13056" width="8.85546875" style="100"/>
    <col min="13057" max="13057" width="6.42578125" style="100" customWidth="1"/>
    <col min="13058" max="13058" width="61.42578125" style="100" customWidth="1"/>
    <col min="13059" max="13061" width="0" style="100" hidden="1" customWidth="1"/>
    <col min="13062" max="13062" width="14.42578125" style="100" customWidth="1"/>
    <col min="13063" max="13063" width="14.7109375" style="100" customWidth="1"/>
    <col min="13064" max="13064" width="15.140625" style="100" customWidth="1"/>
    <col min="13065" max="13065" width="13.5703125" style="100" customWidth="1"/>
    <col min="13066" max="13069" width="0" style="100" hidden="1" customWidth="1"/>
    <col min="13070" max="13070" width="12.28515625" style="100" customWidth="1"/>
    <col min="13071" max="13071" width="12.140625" style="100" customWidth="1"/>
    <col min="13072" max="13073" width="0" style="100" hidden="1" customWidth="1"/>
    <col min="13074" max="13074" width="12" style="100" customWidth="1"/>
    <col min="13075" max="13075" width="12.42578125" style="100" customWidth="1"/>
    <col min="13076" max="13076" width="11.5703125" style="100" customWidth="1"/>
    <col min="13077" max="13077" width="11.85546875" style="100" customWidth="1"/>
    <col min="13078" max="13078" width="0" style="100" hidden="1" customWidth="1"/>
    <col min="13079" max="13079" width="12.28515625" style="100" bestFit="1" customWidth="1"/>
    <col min="13080" max="13080" width="13.5703125" style="100" bestFit="1" customWidth="1"/>
    <col min="13081" max="13081" width="13.7109375" style="100" bestFit="1" customWidth="1"/>
    <col min="13082" max="13082" width="9.28515625" style="100" bestFit="1" customWidth="1"/>
    <col min="13083" max="13084" width="9.140625" style="100" bestFit="1" customWidth="1"/>
    <col min="13085" max="13090" width="8.85546875" style="100"/>
    <col min="13091" max="13092" width="9.140625" style="100" bestFit="1" customWidth="1"/>
    <col min="13093" max="13312" width="8.85546875" style="100"/>
    <col min="13313" max="13313" width="6.42578125" style="100" customWidth="1"/>
    <col min="13314" max="13314" width="61.42578125" style="100" customWidth="1"/>
    <col min="13315" max="13317" width="0" style="100" hidden="1" customWidth="1"/>
    <col min="13318" max="13318" width="14.42578125" style="100" customWidth="1"/>
    <col min="13319" max="13319" width="14.7109375" style="100" customWidth="1"/>
    <col min="13320" max="13320" width="15.140625" style="100" customWidth="1"/>
    <col min="13321" max="13321" width="13.5703125" style="100" customWidth="1"/>
    <col min="13322" max="13325" width="0" style="100" hidden="1" customWidth="1"/>
    <col min="13326" max="13326" width="12.28515625" style="100" customWidth="1"/>
    <col min="13327" max="13327" width="12.140625" style="100" customWidth="1"/>
    <col min="13328" max="13329" width="0" style="100" hidden="1" customWidth="1"/>
    <col min="13330" max="13330" width="12" style="100" customWidth="1"/>
    <col min="13331" max="13331" width="12.42578125" style="100" customWidth="1"/>
    <col min="13332" max="13332" width="11.5703125" style="100" customWidth="1"/>
    <col min="13333" max="13333" width="11.85546875" style="100" customWidth="1"/>
    <col min="13334" max="13334" width="0" style="100" hidden="1" customWidth="1"/>
    <col min="13335" max="13335" width="12.28515625" style="100" bestFit="1" customWidth="1"/>
    <col min="13336" max="13336" width="13.5703125" style="100" bestFit="1" customWidth="1"/>
    <col min="13337" max="13337" width="13.7109375" style="100" bestFit="1" customWidth="1"/>
    <col min="13338" max="13338" width="9.28515625" style="100" bestFit="1" customWidth="1"/>
    <col min="13339" max="13340" width="9.140625" style="100" bestFit="1" customWidth="1"/>
    <col min="13341" max="13346" width="8.85546875" style="100"/>
    <col min="13347" max="13348" width="9.140625" style="100" bestFit="1" customWidth="1"/>
    <col min="13349" max="13568" width="8.85546875" style="100"/>
    <col min="13569" max="13569" width="6.42578125" style="100" customWidth="1"/>
    <col min="13570" max="13570" width="61.42578125" style="100" customWidth="1"/>
    <col min="13571" max="13573" width="0" style="100" hidden="1" customWidth="1"/>
    <col min="13574" max="13574" width="14.42578125" style="100" customWidth="1"/>
    <col min="13575" max="13575" width="14.7109375" style="100" customWidth="1"/>
    <col min="13576" max="13576" width="15.140625" style="100" customWidth="1"/>
    <col min="13577" max="13577" width="13.5703125" style="100" customWidth="1"/>
    <col min="13578" max="13581" width="0" style="100" hidden="1" customWidth="1"/>
    <col min="13582" max="13582" width="12.28515625" style="100" customWidth="1"/>
    <col min="13583" max="13583" width="12.140625" style="100" customWidth="1"/>
    <col min="13584" max="13585" width="0" style="100" hidden="1" customWidth="1"/>
    <col min="13586" max="13586" width="12" style="100" customWidth="1"/>
    <col min="13587" max="13587" width="12.42578125" style="100" customWidth="1"/>
    <col min="13588" max="13588" width="11.5703125" style="100" customWidth="1"/>
    <col min="13589" max="13589" width="11.85546875" style="100" customWidth="1"/>
    <col min="13590" max="13590" width="0" style="100" hidden="1" customWidth="1"/>
    <col min="13591" max="13591" width="12.28515625" style="100" bestFit="1" customWidth="1"/>
    <col min="13592" max="13592" width="13.5703125" style="100" bestFit="1" customWidth="1"/>
    <col min="13593" max="13593" width="13.7109375" style="100" bestFit="1" customWidth="1"/>
    <col min="13594" max="13594" width="9.28515625" style="100" bestFit="1" customWidth="1"/>
    <col min="13595" max="13596" width="9.140625" style="100" bestFit="1" customWidth="1"/>
    <col min="13597" max="13602" width="8.85546875" style="100"/>
    <col min="13603" max="13604" width="9.140625" style="100" bestFit="1" customWidth="1"/>
    <col min="13605" max="13824" width="8.85546875" style="100"/>
    <col min="13825" max="13825" width="6.42578125" style="100" customWidth="1"/>
    <col min="13826" max="13826" width="61.42578125" style="100" customWidth="1"/>
    <col min="13827" max="13829" width="0" style="100" hidden="1" customWidth="1"/>
    <col min="13830" max="13830" width="14.42578125" style="100" customWidth="1"/>
    <col min="13831" max="13831" width="14.7109375" style="100" customWidth="1"/>
    <col min="13832" max="13832" width="15.140625" style="100" customWidth="1"/>
    <col min="13833" max="13833" width="13.5703125" style="100" customWidth="1"/>
    <col min="13834" max="13837" width="0" style="100" hidden="1" customWidth="1"/>
    <col min="13838" max="13838" width="12.28515625" style="100" customWidth="1"/>
    <col min="13839" max="13839" width="12.140625" style="100" customWidth="1"/>
    <col min="13840" max="13841" width="0" style="100" hidden="1" customWidth="1"/>
    <col min="13842" max="13842" width="12" style="100" customWidth="1"/>
    <col min="13843" max="13843" width="12.42578125" style="100" customWidth="1"/>
    <col min="13844" max="13844" width="11.5703125" style="100" customWidth="1"/>
    <col min="13845" max="13845" width="11.85546875" style="100" customWidth="1"/>
    <col min="13846" max="13846" width="0" style="100" hidden="1" customWidth="1"/>
    <col min="13847" max="13847" width="12.28515625" style="100" bestFit="1" customWidth="1"/>
    <col min="13848" max="13848" width="13.5703125" style="100" bestFit="1" customWidth="1"/>
    <col min="13849" max="13849" width="13.7109375" style="100" bestFit="1" customWidth="1"/>
    <col min="13850" max="13850" width="9.28515625" style="100" bestFit="1" customWidth="1"/>
    <col min="13851" max="13852" width="9.140625" style="100" bestFit="1" customWidth="1"/>
    <col min="13853" max="13858" width="8.85546875" style="100"/>
    <col min="13859" max="13860" width="9.140625" style="100" bestFit="1" customWidth="1"/>
    <col min="13861" max="14080" width="8.85546875" style="100"/>
    <col min="14081" max="14081" width="6.42578125" style="100" customWidth="1"/>
    <col min="14082" max="14082" width="61.42578125" style="100" customWidth="1"/>
    <col min="14083" max="14085" width="0" style="100" hidden="1" customWidth="1"/>
    <col min="14086" max="14086" width="14.42578125" style="100" customWidth="1"/>
    <col min="14087" max="14087" width="14.7109375" style="100" customWidth="1"/>
    <col min="14088" max="14088" width="15.140625" style="100" customWidth="1"/>
    <col min="14089" max="14089" width="13.5703125" style="100" customWidth="1"/>
    <col min="14090" max="14093" width="0" style="100" hidden="1" customWidth="1"/>
    <col min="14094" max="14094" width="12.28515625" style="100" customWidth="1"/>
    <col min="14095" max="14095" width="12.140625" style="100" customWidth="1"/>
    <col min="14096" max="14097" width="0" style="100" hidden="1" customWidth="1"/>
    <col min="14098" max="14098" width="12" style="100" customWidth="1"/>
    <col min="14099" max="14099" width="12.42578125" style="100" customWidth="1"/>
    <col min="14100" max="14100" width="11.5703125" style="100" customWidth="1"/>
    <col min="14101" max="14101" width="11.85546875" style="100" customWidth="1"/>
    <col min="14102" max="14102" width="0" style="100" hidden="1" customWidth="1"/>
    <col min="14103" max="14103" width="12.28515625" style="100" bestFit="1" customWidth="1"/>
    <col min="14104" max="14104" width="13.5703125" style="100" bestFit="1" customWidth="1"/>
    <col min="14105" max="14105" width="13.7109375" style="100" bestFit="1" customWidth="1"/>
    <col min="14106" max="14106" width="9.28515625" style="100" bestFit="1" customWidth="1"/>
    <col min="14107" max="14108" width="9.140625" style="100" bestFit="1" customWidth="1"/>
    <col min="14109" max="14114" width="8.85546875" style="100"/>
    <col min="14115" max="14116" width="9.140625" style="100" bestFit="1" customWidth="1"/>
    <col min="14117" max="14336" width="8.85546875" style="100"/>
    <col min="14337" max="14337" width="6.42578125" style="100" customWidth="1"/>
    <col min="14338" max="14338" width="61.42578125" style="100" customWidth="1"/>
    <col min="14339" max="14341" width="0" style="100" hidden="1" customWidth="1"/>
    <col min="14342" max="14342" width="14.42578125" style="100" customWidth="1"/>
    <col min="14343" max="14343" width="14.7109375" style="100" customWidth="1"/>
    <col min="14344" max="14344" width="15.140625" style="100" customWidth="1"/>
    <col min="14345" max="14345" width="13.5703125" style="100" customWidth="1"/>
    <col min="14346" max="14349" width="0" style="100" hidden="1" customWidth="1"/>
    <col min="14350" max="14350" width="12.28515625" style="100" customWidth="1"/>
    <col min="14351" max="14351" width="12.140625" style="100" customWidth="1"/>
    <col min="14352" max="14353" width="0" style="100" hidden="1" customWidth="1"/>
    <col min="14354" max="14354" width="12" style="100" customWidth="1"/>
    <col min="14355" max="14355" width="12.42578125" style="100" customWidth="1"/>
    <col min="14356" max="14356" width="11.5703125" style="100" customWidth="1"/>
    <col min="14357" max="14357" width="11.85546875" style="100" customWidth="1"/>
    <col min="14358" max="14358" width="0" style="100" hidden="1" customWidth="1"/>
    <col min="14359" max="14359" width="12.28515625" style="100" bestFit="1" customWidth="1"/>
    <col min="14360" max="14360" width="13.5703125" style="100" bestFit="1" customWidth="1"/>
    <col min="14361" max="14361" width="13.7109375" style="100" bestFit="1" customWidth="1"/>
    <col min="14362" max="14362" width="9.28515625" style="100" bestFit="1" customWidth="1"/>
    <col min="14363" max="14364" width="9.140625" style="100" bestFit="1" customWidth="1"/>
    <col min="14365" max="14370" width="8.85546875" style="100"/>
    <col min="14371" max="14372" width="9.140625" style="100" bestFit="1" customWidth="1"/>
    <col min="14373" max="14592" width="8.85546875" style="100"/>
    <col min="14593" max="14593" width="6.42578125" style="100" customWidth="1"/>
    <col min="14594" max="14594" width="61.42578125" style="100" customWidth="1"/>
    <col min="14595" max="14597" width="0" style="100" hidden="1" customWidth="1"/>
    <col min="14598" max="14598" width="14.42578125" style="100" customWidth="1"/>
    <col min="14599" max="14599" width="14.7109375" style="100" customWidth="1"/>
    <col min="14600" max="14600" width="15.140625" style="100" customWidth="1"/>
    <col min="14601" max="14601" width="13.5703125" style="100" customWidth="1"/>
    <col min="14602" max="14605" width="0" style="100" hidden="1" customWidth="1"/>
    <col min="14606" max="14606" width="12.28515625" style="100" customWidth="1"/>
    <col min="14607" max="14607" width="12.140625" style="100" customWidth="1"/>
    <col min="14608" max="14609" width="0" style="100" hidden="1" customWidth="1"/>
    <col min="14610" max="14610" width="12" style="100" customWidth="1"/>
    <col min="14611" max="14611" width="12.42578125" style="100" customWidth="1"/>
    <col min="14612" max="14612" width="11.5703125" style="100" customWidth="1"/>
    <col min="14613" max="14613" width="11.85546875" style="100" customWidth="1"/>
    <col min="14614" max="14614" width="0" style="100" hidden="1" customWidth="1"/>
    <col min="14615" max="14615" width="12.28515625" style="100" bestFit="1" customWidth="1"/>
    <col min="14616" max="14616" width="13.5703125" style="100" bestFit="1" customWidth="1"/>
    <col min="14617" max="14617" width="13.7109375" style="100" bestFit="1" customWidth="1"/>
    <col min="14618" max="14618" width="9.28515625" style="100" bestFit="1" customWidth="1"/>
    <col min="14619" max="14620" width="9.140625" style="100" bestFit="1" customWidth="1"/>
    <col min="14621" max="14626" width="8.85546875" style="100"/>
    <col min="14627" max="14628" width="9.140625" style="100" bestFit="1" customWidth="1"/>
    <col min="14629" max="14848" width="8.85546875" style="100"/>
    <col min="14849" max="14849" width="6.42578125" style="100" customWidth="1"/>
    <col min="14850" max="14850" width="61.42578125" style="100" customWidth="1"/>
    <col min="14851" max="14853" width="0" style="100" hidden="1" customWidth="1"/>
    <col min="14854" max="14854" width="14.42578125" style="100" customWidth="1"/>
    <col min="14855" max="14855" width="14.7109375" style="100" customWidth="1"/>
    <col min="14856" max="14856" width="15.140625" style="100" customWidth="1"/>
    <col min="14857" max="14857" width="13.5703125" style="100" customWidth="1"/>
    <col min="14858" max="14861" width="0" style="100" hidden="1" customWidth="1"/>
    <col min="14862" max="14862" width="12.28515625" style="100" customWidth="1"/>
    <col min="14863" max="14863" width="12.140625" style="100" customWidth="1"/>
    <col min="14864" max="14865" width="0" style="100" hidden="1" customWidth="1"/>
    <col min="14866" max="14866" width="12" style="100" customWidth="1"/>
    <col min="14867" max="14867" width="12.42578125" style="100" customWidth="1"/>
    <col min="14868" max="14868" width="11.5703125" style="100" customWidth="1"/>
    <col min="14869" max="14869" width="11.85546875" style="100" customWidth="1"/>
    <col min="14870" max="14870" width="0" style="100" hidden="1" customWidth="1"/>
    <col min="14871" max="14871" width="12.28515625" style="100" bestFit="1" customWidth="1"/>
    <col min="14872" max="14872" width="13.5703125" style="100" bestFit="1" customWidth="1"/>
    <col min="14873" max="14873" width="13.7109375" style="100" bestFit="1" customWidth="1"/>
    <col min="14874" max="14874" width="9.28515625" style="100" bestFit="1" customWidth="1"/>
    <col min="14875" max="14876" width="9.140625" style="100" bestFit="1" customWidth="1"/>
    <col min="14877" max="14882" width="8.85546875" style="100"/>
    <col min="14883" max="14884" width="9.140625" style="100" bestFit="1" customWidth="1"/>
    <col min="14885" max="15104" width="8.85546875" style="100"/>
    <col min="15105" max="15105" width="6.42578125" style="100" customWidth="1"/>
    <col min="15106" max="15106" width="61.42578125" style="100" customWidth="1"/>
    <col min="15107" max="15109" width="0" style="100" hidden="1" customWidth="1"/>
    <col min="15110" max="15110" width="14.42578125" style="100" customWidth="1"/>
    <col min="15111" max="15111" width="14.7109375" style="100" customWidth="1"/>
    <col min="15112" max="15112" width="15.140625" style="100" customWidth="1"/>
    <col min="15113" max="15113" width="13.5703125" style="100" customWidth="1"/>
    <col min="15114" max="15117" width="0" style="100" hidden="1" customWidth="1"/>
    <col min="15118" max="15118" width="12.28515625" style="100" customWidth="1"/>
    <col min="15119" max="15119" width="12.140625" style="100" customWidth="1"/>
    <col min="15120" max="15121" width="0" style="100" hidden="1" customWidth="1"/>
    <col min="15122" max="15122" width="12" style="100" customWidth="1"/>
    <col min="15123" max="15123" width="12.42578125" style="100" customWidth="1"/>
    <col min="15124" max="15124" width="11.5703125" style="100" customWidth="1"/>
    <col min="15125" max="15125" width="11.85546875" style="100" customWidth="1"/>
    <col min="15126" max="15126" width="0" style="100" hidden="1" customWidth="1"/>
    <col min="15127" max="15127" width="12.28515625" style="100" bestFit="1" customWidth="1"/>
    <col min="15128" max="15128" width="13.5703125" style="100" bestFit="1" customWidth="1"/>
    <col min="15129" max="15129" width="13.7109375" style="100" bestFit="1" customWidth="1"/>
    <col min="15130" max="15130" width="9.28515625" style="100" bestFit="1" customWidth="1"/>
    <col min="15131" max="15132" width="9.140625" style="100" bestFit="1" customWidth="1"/>
    <col min="15133" max="15138" width="8.85546875" style="100"/>
    <col min="15139" max="15140" width="9.140625" style="100" bestFit="1" customWidth="1"/>
    <col min="15141" max="15360" width="8.85546875" style="100"/>
    <col min="15361" max="15361" width="6.42578125" style="100" customWidth="1"/>
    <col min="15362" max="15362" width="61.42578125" style="100" customWidth="1"/>
    <col min="15363" max="15365" width="0" style="100" hidden="1" customWidth="1"/>
    <col min="15366" max="15366" width="14.42578125" style="100" customWidth="1"/>
    <col min="15367" max="15367" width="14.7109375" style="100" customWidth="1"/>
    <col min="15368" max="15368" width="15.140625" style="100" customWidth="1"/>
    <col min="15369" max="15369" width="13.5703125" style="100" customWidth="1"/>
    <col min="15370" max="15373" width="0" style="100" hidden="1" customWidth="1"/>
    <col min="15374" max="15374" width="12.28515625" style="100" customWidth="1"/>
    <col min="15375" max="15375" width="12.140625" style="100" customWidth="1"/>
    <col min="15376" max="15377" width="0" style="100" hidden="1" customWidth="1"/>
    <col min="15378" max="15378" width="12" style="100" customWidth="1"/>
    <col min="15379" max="15379" width="12.42578125" style="100" customWidth="1"/>
    <col min="15380" max="15380" width="11.5703125" style="100" customWidth="1"/>
    <col min="15381" max="15381" width="11.85546875" style="100" customWidth="1"/>
    <col min="15382" max="15382" width="0" style="100" hidden="1" customWidth="1"/>
    <col min="15383" max="15383" width="12.28515625" style="100" bestFit="1" customWidth="1"/>
    <col min="15384" max="15384" width="13.5703125" style="100" bestFit="1" customWidth="1"/>
    <col min="15385" max="15385" width="13.7109375" style="100" bestFit="1" customWidth="1"/>
    <col min="15386" max="15386" width="9.28515625" style="100" bestFit="1" customWidth="1"/>
    <col min="15387" max="15388" width="9.140625" style="100" bestFit="1" customWidth="1"/>
    <col min="15389" max="15394" width="8.85546875" style="100"/>
    <col min="15395" max="15396" width="9.140625" style="100" bestFit="1" customWidth="1"/>
    <col min="15397" max="15616" width="8.85546875" style="100"/>
    <col min="15617" max="15617" width="6.42578125" style="100" customWidth="1"/>
    <col min="15618" max="15618" width="61.42578125" style="100" customWidth="1"/>
    <col min="15619" max="15621" width="0" style="100" hidden="1" customWidth="1"/>
    <col min="15622" max="15622" width="14.42578125" style="100" customWidth="1"/>
    <col min="15623" max="15623" width="14.7109375" style="100" customWidth="1"/>
    <col min="15624" max="15624" width="15.140625" style="100" customWidth="1"/>
    <col min="15625" max="15625" width="13.5703125" style="100" customWidth="1"/>
    <col min="15626" max="15629" width="0" style="100" hidden="1" customWidth="1"/>
    <col min="15630" max="15630" width="12.28515625" style="100" customWidth="1"/>
    <col min="15631" max="15631" width="12.140625" style="100" customWidth="1"/>
    <col min="15632" max="15633" width="0" style="100" hidden="1" customWidth="1"/>
    <col min="15634" max="15634" width="12" style="100" customWidth="1"/>
    <col min="15635" max="15635" width="12.42578125" style="100" customWidth="1"/>
    <col min="15636" max="15636" width="11.5703125" style="100" customWidth="1"/>
    <col min="15637" max="15637" width="11.85546875" style="100" customWidth="1"/>
    <col min="15638" max="15638" width="0" style="100" hidden="1" customWidth="1"/>
    <col min="15639" max="15639" width="12.28515625" style="100" bestFit="1" customWidth="1"/>
    <col min="15640" max="15640" width="13.5703125" style="100" bestFit="1" customWidth="1"/>
    <col min="15641" max="15641" width="13.7109375" style="100" bestFit="1" customWidth="1"/>
    <col min="15642" max="15642" width="9.28515625" style="100" bestFit="1" customWidth="1"/>
    <col min="15643" max="15644" width="9.140625" style="100" bestFit="1" customWidth="1"/>
    <col min="15645" max="15650" width="8.85546875" style="100"/>
    <col min="15651" max="15652" width="9.140625" style="100" bestFit="1" customWidth="1"/>
    <col min="15653" max="15872" width="8.85546875" style="100"/>
    <col min="15873" max="15873" width="6.42578125" style="100" customWidth="1"/>
    <col min="15874" max="15874" width="61.42578125" style="100" customWidth="1"/>
    <col min="15875" max="15877" width="0" style="100" hidden="1" customWidth="1"/>
    <col min="15878" max="15878" width="14.42578125" style="100" customWidth="1"/>
    <col min="15879" max="15879" width="14.7109375" style="100" customWidth="1"/>
    <col min="15880" max="15880" width="15.140625" style="100" customWidth="1"/>
    <col min="15881" max="15881" width="13.5703125" style="100" customWidth="1"/>
    <col min="15882" max="15885" width="0" style="100" hidden="1" customWidth="1"/>
    <col min="15886" max="15886" width="12.28515625" style="100" customWidth="1"/>
    <col min="15887" max="15887" width="12.140625" style="100" customWidth="1"/>
    <col min="15888" max="15889" width="0" style="100" hidden="1" customWidth="1"/>
    <col min="15890" max="15890" width="12" style="100" customWidth="1"/>
    <col min="15891" max="15891" width="12.42578125" style="100" customWidth="1"/>
    <col min="15892" max="15892" width="11.5703125" style="100" customWidth="1"/>
    <col min="15893" max="15893" width="11.85546875" style="100" customWidth="1"/>
    <col min="15894" max="15894" width="0" style="100" hidden="1" customWidth="1"/>
    <col min="15895" max="15895" width="12.28515625" style="100" bestFit="1" customWidth="1"/>
    <col min="15896" max="15896" width="13.5703125" style="100" bestFit="1" customWidth="1"/>
    <col min="15897" max="15897" width="13.7109375" style="100" bestFit="1" customWidth="1"/>
    <col min="15898" max="15898" width="9.28515625" style="100" bestFit="1" customWidth="1"/>
    <col min="15899" max="15900" width="9.140625" style="100" bestFit="1" customWidth="1"/>
    <col min="15901" max="15906" width="8.85546875" style="100"/>
    <col min="15907" max="15908" width="9.140625" style="100" bestFit="1" customWidth="1"/>
    <col min="15909" max="16128" width="8.85546875" style="100"/>
    <col min="16129" max="16129" width="6.42578125" style="100" customWidth="1"/>
    <col min="16130" max="16130" width="61.42578125" style="100" customWidth="1"/>
    <col min="16131" max="16133" width="0" style="100" hidden="1" customWidth="1"/>
    <col min="16134" max="16134" width="14.42578125" style="100" customWidth="1"/>
    <col min="16135" max="16135" width="14.7109375" style="100" customWidth="1"/>
    <col min="16136" max="16136" width="15.140625" style="100" customWidth="1"/>
    <col min="16137" max="16137" width="13.5703125" style="100" customWidth="1"/>
    <col min="16138" max="16141" width="0" style="100" hidden="1" customWidth="1"/>
    <col min="16142" max="16142" width="12.28515625" style="100" customWidth="1"/>
    <col min="16143" max="16143" width="12.140625" style="100" customWidth="1"/>
    <col min="16144" max="16145" width="0" style="100" hidden="1" customWidth="1"/>
    <col min="16146" max="16146" width="12" style="100" customWidth="1"/>
    <col min="16147" max="16147" width="12.42578125" style="100" customWidth="1"/>
    <col min="16148" max="16148" width="11.5703125" style="100" customWidth="1"/>
    <col min="16149" max="16149" width="11.85546875" style="100" customWidth="1"/>
    <col min="16150" max="16150" width="0" style="100" hidden="1" customWidth="1"/>
    <col min="16151" max="16151" width="12.28515625" style="100" bestFit="1" customWidth="1"/>
    <col min="16152" max="16152" width="13.5703125" style="100" bestFit="1" customWidth="1"/>
    <col min="16153" max="16153" width="13.7109375" style="100" bestFit="1" customWidth="1"/>
    <col min="16154" max="16154" width="9.28515625" style="100" bestFit="1" customWidth="1"/>
    <col min="16155" max="16156" width="9.140625" style="100" bestFit="1" customWidth="1"/>
    <col min="16157" max="16162" width="8.85546875" style="100"/>
    <col min="16163" max="16164" width="9.140625" style="100" bestFit="1" customWidth="1"/>
    <col min="16165" max="16384" width="8.85546875" style="100"/>
  </cols>
  <sheetData>
    <row r="1" spans="1:25" ht="22.5" customHeight="1" x14ac:dyDescent="0.25">
      <c r="A1" s="545" t="s">
        <v>1170</v>
      </c>
      <c r="B1" s="545"/>
      <c r="C1" s="545"/>
      <c r="D1" s="545"/>
      <c r="E1" s="545"/>
      <c r="F1" s="545"/>
      <c r="G1" s="545"/>
      <c r="H1" s="545"/>
      <c r="I1" s="545"/>
      <c r="J1" s="545"/>
      <c r="K1" s="545"/>
      <c r="L1" s="545"/>
      <c r="M1" s="545"/>
      <c r="N1" s="545"/>
      <c r="O1" s="545"/>
      <c r="P1" s="545"/>
      <c r="Q1" s="545"/>
      <c r="R1" s="545"/>
      <c r="S1" s="545"/>
      <c r="T1" s="545"/>
      <c r="U1" s="545"/>
      <c r="V1" s="545"/>
    </row>
    <row r="2" spans="1:25" ht="24.75" customHeight="1" x14ac:dyDescent="0.25">
      <c r="A2" s="545" t="s">
        <v>1171</v>
      </c>
      <c r="B2" s="545"/>
      <c r="C2" s="545"/>
      <c r="D2" s="545"/>
      <c r="E2" s="545"/>
      <c r="F2" s="545"/>
      <c r="G2" s="545"/>
      <c r="H2" s="545"/>
      <c r="I2" s="545"/>
      <c r="J2" s="545"/>
      <c r="K2" s="545"/>
      <c r="L2" s="545"/>
      <c r="M2" s="545"/>
      <c r="N2" s="545"/>
      <c r="O2" s="545"/>
      <c r="P2" s="545"/>
      <c r="Q2" s="545"/>
      <c r="R2" s="545"/>
      <c r="S2" s="545"/>
      <c r="T2" s="545"/>
      <c r="U2" s="545"/>
      <c r="V2" s="545"/>
    </row>
    <row r="3" spans="1:25" ht="19.5" customHeight="1" x14ac:dyDescent="0.25">
      <c r="A3" s="545" t="s">
        <v>1172</v>
      </c>
      <c r="B3" s="545"/>
      <c r="C3" s="545"/>
      <c r="D3" s="545"/>
      <c r="E3" s="545"/>
      <c r="F3" s="545"/>
      <c r="G3" s="545"/>
      <c r="H3" s="545"/>
      <c r="I3" s="545"/>
      <c r="J3" s="545"/>
      <c r="K3" s="545"/>
      <c r="L3" s="545"/>
      <c r="M3" s="545"/>
      <c r="N3" s="545"/>
      <c r="O3" s="545"/>
      <c r="P3" s="545"/>
      <c r="Q3" s="545"/>
      <c r="R3" s="545"/>
      <c r="S3" s="545"/>
      <c r="T3" s="545"/>
      <c r="U3" s="545"/>
      <c r="V3" s="545"/>
    </row>
    <row r="4" spans="1:25" ht="19.5" customHeight="1" x14ac:dyDescent="0.25">
      <c r="A4" s="546" t="s">
        <v>1173</v>
      </c>
      <c r="B4" s="546"/>
      <c r="C4" s="546"/>
      <c r="D4" s="546"/>
      <c r="E4" s="546"/>
      <c r="F4" s="546"/>
      <c r="G4" s="546"/>
      <c r="H4" s="546"/>
      <c r="I4" s="546"/>
      <c r="J4" s="546"/>
      <c r="K4" s="546"/>
      <c r="L4" s="546"/>
      <c r="M4" s="546"/>
      <c r="N4" s="546"/>
      <c r="O4" s="546"/>
      <c r="P4" s="546"/>
      <c r="Q4" s="546"/>
      <c r="R4" s="546"/>
      <c r="S4" s="546"/>
      <c r="T4" s="546"/>
      <c r="U4" s="546"/>
      <c r="V4" s="101"/>
    </row>
    <row r="5" spans="1:25" x14ac:dyDescent="0.25">
      <c r="A5" s="547" t="s">
        <v>56</v>
      </c>
      <c r="B5" s="547"/>
      <c r="C5" s="547"/>
      <c r="D5" s="547"/>
      <c r="E5" s="547"/>
      <c r="F5" s="547"/>
      <c r="G5" s="547"/>
      <c r="H5" s="547"/>
      <c r="I5" s="547"/>
      <c r="J5" s="547"/>
      <c r="K5" s="547"/>
      <c r="L5" s="547"/>
      <c r="M5" s="547"/>
      <c r="N5" s="547"/>
      <c r="O5" s="547"/>
      <c r="P5" s="547"/>
      <c r="Q5" s="547"/>
      <c r="R5" s="547"/>
      <c r="S5" s="547"/>
      <c r="T5" s="547"/>
      <c r="U5" s="547"/>
      <c r="V5" s="547"/>
    </row>
    <row r="6" spans="1:25" s="102" customFormat="1" x14ac:dyDescent="0.25">
      <c r="A6" s="544" t="s">
        <v>1174</v>
      </c>
      <c r="B6" s="544" t="s">
        <v>180</v>
      </c>
      <c r="C6" s="544" t="s">
        <v>978</v>
      </c>
      <c r="D6" s="544" t="s">
        <v>1175</v>
      </c>
      <c r="E6" s="544" t="s">
        <v>1176</v>
      </c>
      <c r="F6" s="544" t="s">
        <v>1177</v>
      </c>
      <c r="G6" s="544" t="s">
        <v>1178</v>
      </c>
      <c r="H6" s="544"/>
      <c r="I6" s="544"/>
      <c r="J6" s="544" t="s">
        <v>1179</v>
      </c>
      <c r="K6" s="544"/>
      <c r="L6" s="544" t="s">
        <v>1180</v>
      </c>
      <c r="M6" s="544"/>
      <c r="N6" s="544" t="s">
        <v>1181</v>
      </c>
      <c r="O6" s="544"/>
      <c r="P6" s="544" t="s">
        <v>1182</v>
      </c>
      <c r="Q6" s="544"/>
      <c r="R6" s="544" t="s">
        <v>1183</v>
      </c>
      <c r="S6" s="544"/>
      <c r="T6" s="544" t="s">
        <v>129</v>
      </c>
      <c r="U6" s="544"/>
      <c r="V6" s="544" t="s">
        <v>1184</v>
      </c>
    </row>
    <row r="7" spans="1:25" s="102" customFormat="1" x14ac:dyDescent="0.25">
      <c r="A7" s="544"/>
      <c r="B7" s="544"/>
      <c r="C7" s="544"/>
      <c r="D7" s="544"/>
      <c r="E7" s="544"/>
      <c r="F7" s="544"/>
      <c r="G7" s="544"/>
      <c r="H7" s="544"/>
      <c r="I7" s="544"/>
      <c r="J7" s="544"/>
      <c r="K7" s="544"/>
      <c r="L7" s="544"/>
      <c r="M7" s="544"/>
      <c r="N7" s="544"/>
      <c r="O7" s="544"/>
      <c r="P7" s="544"/>
      <c r="Q7" s="544"/>
      <c r="R7" s="544"/>
      <c r="S7" s="544"/>
      <c r="T7" s="544"/>
      <c r="U7" s="544"/>
      <c r="V7" s="544"/>
    </row>
    <row r="8" spans="1:25" s="102" customFormat="1" x14ac:dyDescent="0.25">
      <c r="A8" s="544"/>
      <c r="B8" s="544"/>
      <c r="C8" s="544"/>
      <c r="D8" s="544"/>
      <c r="E8" s="544"/>
      <c r="F8" s="544"/>
      <c r="G8" s="544"/>
      <c r="H8" s="544"/>
      <c r="I8" s="544"/>
      <c r="J8" s="544"/>
      <c r="K8" s="544"/>
      <c r="L8" s="544"/>
      <c r="M8" s="544"/>
      <c r="N8" s="544"/>
      <c r="O8" s="544"/>
      <c r="P8" s="544"/>
      <c r="Q8" s="544"/>
      <c r="R8" s="544"/>
      <c r="S8" s="544"/>
      <c r="T8" s="544"/>
      <c r="U8" s="544"/>
      <c r="V8" s="544"/>
    </row>
    <row r="9" spans="1:25" s="102" customFormat="1" x14ac:dyDescent="0.25">
      <c r="A9" s="544"/>
      <c r="B9" s="544"/>
      <c r="C9" s="544"/>
      <c r="D9" s="544"/>
      <c r="E9" s="544"/>
      <c r="F9" s="544"/>
      <c r="G9" s="544" t="s">
        <v>1185</v>
      </c>
      <c r="H9" s="544" t="s">
        <v>979</v>
      </c>
      <c r="I9" s="544" t="s">
        <v>1186</v>
      </c>
      <c r="J9" s="544" t="s">
        <v>130</v>
      </c>
      <c r="K9" s="544" t="s">
        <v>1187</v>
      </c>
      <c r="L9" s="544" t="s">
        <v>130</v>
      </c>
      <c r="M9" s="544" t="s">
        <v>1187</v>
      </c>
      <c r="N9" s="544" t="s">
        <v>130</v>
      </c>
      <c r="O9" s="544" t="s">
        <v>1186</v>
      </c>
      <c r="P9" s="544" t="s">
        <v>1188</v>
      </c>
      <c r="Q9" s="544" t="s">
        <v>1189</v>
      </c>
      <c r="R9" s="544" t="s">
        <v>130</v>
      </c>
      <c r="S9" s="544" t="s">
        <v>1186</v>
      </c>
      <c r="T9" s="544" t="s">
        <v>1188</v>
      </c>
      <c r="U9" s="544" t="s">
        <v>1189</v>
      </c>
      <c r="V9" s="544"/>
    </row>
    <row r="10" spans="1:25" s="102" customFormat="1" x14ac:dyDescent="0.25">
      <c r="A10" s="544"/>
      <c r="B10" s="544"/>
      <c r="C10" s="544"/>
      <c r="D10" s="544"/>
      <c r="E10" s="544"/>
      <c r="F10" s="544"/>
      <c r="G10" s="544"/>
      <c r="H10" s="544"/>
      <c r="I10" s="544"/>
      <c r="J10" s="544"/>
      <c r="K10" s="544"/>
      <c r="L10" s="544"/>
      <c r="M10" s="544"/>
      <c r="N10" s="544"/>
      <c r="O10" s="544"/>
      <c r="P10" s="544"/>
      <c r="Q10" s="544"/>
      <c r="R10" s="544"/>
      <c r="S10" s="544"/>
      <c r="T10" s="544"/>
      <c r="U10" s="544"/>
      <c r="V10" s="544"/>
    </row>
    <row r="11" spans="1:25" s="102" customFormat="1" x14ac:dyDescent="0.25">
      <c r="A11" s="544"/>
      <c r="B11" s="544"/>
      <c r="C11" s="544"/>
      <c r="D11" s="544"/>
      <c r="E11" s="544"/>
      <c r="F11" s="544"/>
      <c r="G11" s="544"/>
      <c r="H11" s="544"/>
      <c r="I11" s="544"/>
      <c r="J11" s="544"/>
      <c r="K11" s="544"/>
      <c r="L11" s="544"/>
      <c r="M11" s="544"/>
      <c r="N11" s="544"/>
      <c r="O11" s="544"/>
      <c r="P11" s="544"/>
      <c r="Q11" s="544"/>
      <c r="R11" s="544"/>
      <c r="S11" s="544"/>
      <c r="T11" s="544"/>
      <c r="U11" s="544"/>
      <c r="V11" s="544"/>
    </row>
    <row r="12" spans="1:25" s="102" customFormat="1" x14ac:dyDescent="0.25">
      <c r="A12" s="544"/>
      <c r="B12" s="544"/>
      <c r="C12" s="544"/>
      <c r="D12" s="544"/>
      <c r="E12" s="544"/>
      <c r="F12" s="544"/>
      <c r="G12" s="544"/>
      <c r="H12" s="544"/>
      <c r="I12" s="544"/>
      <c r="J12" s="544"/>
      <c r="K12" s="544"/>
      <c r="L12" s="544"/>
      <c r="M12" s="544"/>
      <c r="N12" s="544"/>
      <c r="O12" s="544"/>
      <c r="P12" s="544"/>
      <c r="Q12" s="544"/>
      <c r="R12" s="544"/>
      <c r="S12" s="544"/>
      <c r="T12" s="544"/>
      <c r="U12" s="544"/>
      <c r="V12" s="544"/>
    </row>
    <row r="13" spans="1:25" hidden="1" x14ac:dyDescent="0.25">
      <c r="A13" s="103">
        <v>1</v>
      </c>
      <c r="B13" s="103">
        <v>2</v>
      </c>
      <c r="C13" s="103">
        <v>3</v>
      </c>
      <c r="D13" s="103">
        <f t="shared" ref="D13:U13" si="0">C13+1</f>
        <v>4</v>
      </c>
      <c r="E13" s="103">
        <f t="shared" si="0"/>
        <v>5</v>
      </c>
      <c r="F13" s="103">
        <f t="shared" si="0"/>
        <v>6</v>
      </c>
      <c r="G13" s="103">
        <f t="shared" si="0"/>
        <v>7</v>
      </c>
      <c r="H13" s="103">
        <f t="shared" si="0"/>
        <v>8</v>
      </c>
      <c r="I13" s="103">
        <f t="shared" si="0"/>
        <v>9</v>
      </c>
      <c r="J13" s="103">
        <f t="shared" si="0"/>
        <v>10</v>
      </c>
      <c r="K13" s="103">
        <f t="shared" si="0"/>
        <v>11</v>
      </c>
      <c r="L13" s="103">
        <f t="shared" si="0"/>
        <v>12</v>
      </c>
      <c r="M13" s="103">
        <f t="shared" si="0"/>
        <v>13</v>
      </c>
      <c r="N13" s="103">
        <f t="shared" si="0"/>
        <v>14</v>
      </c>
      <c r="O13" s="103">
        <f t="shared" si="0"/>
        <v>15</v>
      </c>
      <c r="P13" s="103">
        <f t="shared" si="0"/>
        <v>16</v>
      </c>
      <c r="Q13" s="103">
        <f t="shared" si="0"/>
        <v>17</v>
      </c>
      <c r="R13" s="103">
        <f t="shared" si="0"/>
        <v>18</v>
      </c>
      <c r="S13" s="103">
        <f t="shared" si="0"/>
        <v>19</v>
      </c>
      <c r="T13" s="103">
        <f t="shared" si="0"/>
        <v>20</v>
      </c>
      <c r="U13" s="103">
        <f t="shared" si="0"/>
        <v>21</v>
      </c>
      <c r="V13" s="103"/>
    </row>
    <row r="14" spans="1:25" hidden="1" x14ac:dyDescent="0.25">
      <c r="A14" s="103"/>
      <c r="B14" s="103"/>
      <c r="C14" s="103"/>
      <c r="D14" s="103"/>
      <c r="E14" s="103"/>
      <c r="F14" s="103"/>
      <c r="G14" s="103"/>
      <c r="H14" s="103"/>
      <c r="I14" s="103"/>
      <c r="J14" s="103"/>
      <c r="K14" s="103"/>
      <c r="L14" s="103"/>
      <c r="M14" s="103"/>
      <c r="N14" s="103"/>
      <c r="O14" s="103"/>
      <c r="P14" s="103"/>
      <c r="Q14" s="103"/>
      <c r="R14" s="103"/>
      <c r="S14" s="103"/>
      <c r="T14" s="103"/>
      <c r="U14" s="103"/>
      <c r="V14" s="103"/>
    </row>
    <row r="15" spans="1:25" x14ac:dyDescent="0.25">
      <c r="A15" s="104"/>
      <c r="B15" s="104" t="s">
        <v>1190</v>
      </c>
      <c r="C15" s="105"/>
      <c r="D15" s="106"/>
      <c r="E15" s="107"/>
      <c r="F15" s="104"/>
      <c r="G15" s="107"/>
      <c r="H15" s="108">
        <f>SUM(H16:H40)</f>
        <v>28636</v>
      </c>
      <c r="I15" s="108">
        <f t="shared" ref="I15:U15" si="1">SUM(I16:I40)</f>
        <v>19675</v>
      </c>
      <c r="J15" s="108">
        <f t="shared" si="1"/>
        <v>0</v>
      </c>
      <c r="K15" s="108">
        <f t="shared" si="1"/>
        <v>0</v>
      </c>
      <c r="L15" s="108">
        <f t="shared" si="1"/>
        <v>0</v>
      </c>
      <c r="M15" s="108">
        <f t="shared" si="1"/>
        <v>0</v>
      </c>
      <c r="N15" s="108">
        <f t="shared" si="1"/>
        <v>0</v>
      </c>
      <c r="O15" s="108">
        <f t="shared" si="1"/>
        <v>0</v>
      </c>
      <c r="P15" s="108">
        <f t="shared" si="1"/>
        <v>19423</v>
      </c>
      <c r="Q15" s="108">
        <f t="shared" si="1"/>
        <v>0</v>
      </c>
      <c r="R15" s="108">
        <f t="shared" si="1"/>
        <v>19423</v>
      </c>
      <c r="S15" s="108">
        <f t="shared" si="1"/>
        <v>19423</v>
      </c>
      <c r="T15" s="108">
        <f>SUM(T16:T40)</f>
        <v>19423</v>
      </c>
      <c r="U15" s="108">
        <f t="shared" si="1"/>
        <v>0</v>
      </c>
      <c r="V15" s="103"/>
      <c r="W15" s="109"/>
      <c r="X15" s="109"/>
      <c r="Y15" s="109"/>
    </row>
    <row r="16" spans="1:25" ht="63" x14ac:dyDescent="0.25">
      <c r="A16" s="110" t="s">
        <v>981</v>
      </c>
      <c r="B16" s="98" t="s">
        <v>1023</v>
      </c>
      <c r="C16" s="111"/>
      <c r="D16" s="112"/>
      <c r="E16" s="112"/>
      <c r="F16" s="113" t="s">
        <v>994</v>
      </c>
      <c r="G16" s="113" t="s">
        <v>1191</v>
      </c>
      <c r="H16" s="114">
        <v>4200</v>
      </c>
      <c r="I16" s="114">
        <v>4200</v>
      </c>
      <c r="J16" s="103"/>
      <c r="K16" s="103"/>
      <c r="L16" s="103"/>
      <c r="M16" s="103"/>
      <c r="N16" s="103"/>
      <c r="O16" s="103"/>
      <c r="P16" s="115">
        <v>4200</v>
      </c>
      <c r="Q16" s="103"/>
      <c r="R16" s="115">
        <v>4200</v>
      </c>
      <c r="S16" s="115">
        <v>4200</v>
      </c>
      <c r="T16" s="115">
        <v>4200</v>
      </c>
      <c r="U16" s="103"/>
      <c r="V16" s="110" t="s">
        <v>1192</v>
      </c>
      <c r="W16" s="109"/>
      <c r="X16" s="109"/>
      <c r="Y16" s="109"/>
    </row>
    <row r="17" spans="1:25" s="102" customFormat="1" ht="47.25" x14ac:dyDescent="0.25">
      <c r="A17" s="116">
        <v>1</v>
      </c>
      <c r="B17" s="117" t="s">
        <v>995</v>
      </c>
      <c r="C17" s="118"/>
      <c r="D17" s="110"/>
      <c r="E17" s="110"/>
      <c r="F17" s="113" t="s">
        <v>994</v>
      </c>
      <c r="G17" s="119" t="s">
        <v>996</v>
      </c>
      <c r="H17" s="120">
        <v>500</v>
      </c>
      <c r="I17" s="120">
        <v>500</v>
      </c>
      <c r="J17" s="103"/>
      <c r="K17" s="103"/>
      <c r="L17" s="103"/>
      <c r="M17" s="103"/>
      <c r="N17" s="121"/>
      <c r="O17" s="121"/>
      <c r="P17" s="120">
        <v>500</v>
      </c>
      <c r="Q17" s="103"/>
      <c r="R17" s="120">
        <v>500</v>
      </c>
      <c r="S17" s="120">
        <v>500</v>
      </c>
      <c r="T17" s="120">
        <v>500</v>
      </c>
      <c r="U17" s="103"/>
      <c r="V17" s="104"/>
      <c r="W17" s="122"/>
      <c r="X17" s="122"/>
      <c r="Y17" s="122"/>
    </row>
    <row r="18" spans="1:25" s="102" customFormat="1" ht="47.25" x14ac:dyDescent="0.25">
      <c r="A18" s="116">
        <v>2</v>
      </c>
      <c r="B18" s="117" t="s">
        <v>1193</v>
      </c>
      <c r="C18" s="118"/>
      <c r="D18" s="110"/>
      <c r="E18" s="110"/>
      <c r="F18" s="113" t="s">
        <v>994</v>
      </c>
      <c r="G18" s="119" t="s">
        <v>997</v>
      </c>
      <c r="H18" s="120">
        <v>250</v>
      </c>
      <c r="I18" s="120">
        <v>250</v>
      </c>
      <c r="J18" s="103"/>
      <c r="K18" s="103"/>
      <c r="L18" s="103"/>
      <c r="M18" s="103"/>
      <c r="N18" s="121"/>
      <c r="O18" s="121"/>
      <c r="P18" s="120">
        <v>250</v>
      </c>
      <c r="Q18" s="103"/>
      <c r="R18" s="120">
        <v>250</v>
      </c>
      <c r="S18" s="120">
        <v>250</v>
      </c>
      <c r="T18" s="120">
        <v>250</v>
      </c>
      <c r="U18" s="103"/>
      <c r="V18" s="104"/>
      <c r="W18" s="122"/>
      <c r="X18" s="122"/>
      <c r="Y18" s="122"/>
    </row>
    <row r="19" spans="1:25" s="102" customFormat="1" ht="47.25" x14ac:dyDescent="0.25">
      <c r="A19" s="116">
        <v>3</v>
      </c>
      <c r="B19" s="117" t="s">
        <v>998</v>
      </c>
      <c r="C19" s="118"/>
      <c r="D19" s="110"/>
      <c r="E19" s="110"/>
      <c r="F19" s="113" t="s">
        <v>994</v>
      </c>
      <c r="G19" s="119" t="s">
        <v>999</v>
      </c>
      <c r="H19" s="120">
        <v>500</v>
      </c>
      <c r="I19" s="120">
        <v>500</v>
      </c>
      <c r="J19" s="103"/>
      <c r="K19" s="103"/>
      <c r="L19" s="103"/>
      <c r="M19" s="103"/>
      <c r="N19" s="121"/>
      <c r="O19" s="121"/>
      <c r="P19" s="120">
        <v>500</v>
      </c>
      <c r="Q19" s="103"/>
      <c r="R19" s="120">
        <v>500</v>
      </c>
      <c r="S19" s="120">
        <v>500</v>
      </c>
      <c r="T19" s="120">
        <v>500</v>
      </c>
      <c r="U19" s="103"/>
      <c r="V19" s="104"/>
      <c r="W19" s="122"/>
      <c r="X19" s="122"/>
      <c r="Y19" s="122"/>
    </row>
    <row r="20" spans="1:25" s="102" customFormat="1" ht="47.25" x14ac:dyDescent="0.25">
      <c r="A20" s="116">
        <v>4</v>
      </c>
      <c r="B20" s="120" t="s">
        <v>1000</v>
      </c>
      <c r="C20" s="118"/>
      <c r="D20" s="110"/>
      <c r="E20" s="110"/>
      <c r="F20" s="113" t="s">
        <v>994</v>
      </c>
      <c r="G20" s="119" t="s">
        <v>1001</v>
      </c>
      <c r="H20" s="120">
        <v>300</v>
      </c>
      <c r="I20" s="120">
        <v>300</v>
      </c>
      <c r="J20" s="103"/>
      <c r="K20" s="103"/>
      <c r="L20" s="103"/>
      <c r="M20" s="103"/>
      <c r="N20" s="121"/>
      <c r="O20" s="121"/>
      <c r="P20" s="120">
        <v>300</v>
      </c>
      <c r="Q20" s="103"/>
      <c r="R20" s="120">
        <v>300</v>
      </c>
      <c r="S20" s="120">
        <v>300</v>
      </c>
      <c r="T20" s="120">
        <v>300</v>
      </c>
      <c r="U20" s="103"/>
      <c r="V20" s="104"/>
      <c r="W20" s="122"/>
      <c r="X20" s="122"/>
      <c r="Y20" s="122"/>
    </row>
    <row r="21" spans="1:25" s="102" customFormat="1" ht="47.25" x14ac:dyDescent="0.25">
      <c r="A21" s="116">
        <v>5</v>
      </c>
      <c r="B21" s="120" t="s">
        <v>1002</v>
      </c>
      <c r="C21" s="118"/>
      <c r="D21" s="110"/>
      <c r="E21" s="110"/>
      <c r="F21" s="113" t="s">
        <v>994</v>
      </c>
      <c r="G21" s="119" t="s">
        <v>1003</v>
      </c>
      <c r="H21" s="120">
        <v>400</v>
      </c>
      <c r="I21" s="120">
        <v>400</v>
      </c>
      <c r="J21" s="103"/>
      <c r="K21" s="103"/>
      <c r="L21" s="103"/>
      <c r="M21" s="103"/>
      <c r="N21" s="121"/>
      <c r="O21" s="121"/>
      <c r="P21" s="120">
        <v>400</v>
      </c>
      <c r="Q21" s="103"/>
      <c r="R21" s="120">
        <v>400</v>
      </c>
      <c r="S21" s="120">
        <v>400</v>
      </c>
      <c r="T21" s="120">
        <v>400</v>
      </c>
      <c r="U21" s="103"/>
      <c r="V21" s="104"/>
      <c r="W21" s="122"/>
      <c r="X21" s="122"/>
      <c r="Y21" s="122"/>
    </row>
    <row r="22" spans="1:25" s="102" customFormat="1" ht="47.25" x14ac:dyDescent="0.25">
      <c r="A22" s="116">
        <v>6</v>
      </c>
      <c r="B22" s="120" t="s">
        <v>1004</v>
      </c>
      <c r="C22" s="118"/>
      <c r="D22" s="110"/>
      <c r="E22" s="110"/>
      <c r="F22" s="113" t="s">
        <v>994</v>
      </c>
      <c r="G22" s="119" t="s">
        <v>1005</v>
      </c>
      <c r="H22" s="120">
        <v>400</v>
      </c>
      <c r="I22" s="120">
        <v>400</v>
      </c>
      <c r="J22" s="103"/>
      <c r="K22" s="103"/>
      <c r="L22" s="103"/>
      <c r="M22" s="103"/>
      <c r="N22" s="121"/>
      <c r="O22" s="121"/>
      <c r="P22" s="120">
        <v>400</v>
      </c>
      <c r="Q22" s="103"/>
      <c r="R22" s="120">
        <v>400</v>
      </c>
      <c r="S22" s="120">
        <v>400</v>
      </c>
      <c r="T22" s="120">
        <v>400</v>
      </c>
      <c r="U22" s="103"/>
      <c r="V22" s="104"/>
      <c r="W22" s="122"/>
      <c r="X22" s="122"/>
      <c r="Y22" s="122"/>
    </row>
    <row r="23" spans="1:25" s="102" customFormat="1" ht="47.25" x14ac:dyDescent="0.25">
      <c r="A23" s="116">
        <v>7</v>
      </c>
      <c r="B23" s="120" t="s">
        <v>1006</v>
      </c>
      <c r="C23" s="118"/>
      <c r="D23" s="110"/>
      <c r="E23" s="110"/>
      <c r="F23" s="113" t="s">
        <v>994</v>
      </c>
      <c r="G23" s="119" t="s">
        <v>1007</v>
      </c>
      <c r="H23" s="120">
        <v>600</v>
      </c>
      <c r="I23" s="120">
        <v>600</v>
      </c>
      <c r="J23" s="103"/>
      <c r="K23" s="103"/>
      <c r="L23" s="103"/>
      <c r="M23" s="103"/>
      <c r="N23" s="121"/>
      <c r="O23" s="121"/>
      <c r="P23" s="120">
        <v>600</v>
      </c>
      <c r="Q23" s="103"/>
      <c r="R23" s="120">
        <v>600</v>
      </c>
      <c r="S23" s="120">
        <v>600</v>
      </c>
      <c r="T23" s="120">
        <v>600</v>
      </c>
      <c r="U23" s="103"/>
      <c r="V23" s="104"/>
      <c r="W23" s="122"/>
      <c r="X23" s="122"/>
      <c r="Y23" s="122"/>
    </row>
    <row r="24" spans="1:25" s="102" customFormat="1" ht="47.25" x14ac:dyDescent="0.25">
      <c r="A24" s="116">
        <v>8</v>
      </c>
      <c r="B24" s="120" t="s">
        <v>1008</v>
      </c>
      <c r="C24" s="118"/>
      <c r="D24" s="110"/>
      <c r="E24" s="110"/>
      <c r="F24" s="113" t="s">
        <v>994</v>
      </c>
      <c r="G24" s="119" t="s">
        <v>1009</v>
      </c>
      <c r="H24" s="120">
        <v>600</v>
      </c>
      <c r="I24" s="120">
        <v>600</v>
      </c>
      <c r="J24" s="103"/>
      <c r="K24" s="103"/>
      <c r="L24" s="103"/>
      <c r="M24" s="103"/>
      <c r="N24" s="121"/>
      <c r="O24" s="121"/>
      <c r="P24" s="120">
        <v>600</v>
      </c>
      <c r="Q24" s="103"/>
      <c r="R24" s="120">
        <v>600</v>
      </c>
      <c r="S24" s="120">
        <v>600</v>
      </c>
      <c r="T24" s="120">
        <v>600</v>
      </c>
      <c r="U24" s="103"/>
      <c r="V24" s="104"/>
      <c r="W24" s="122"/>
      <c r="X24" s="122"/>
      <c r="Y24" s="122"/>
    </row>
    <row r="25" spans="1:25" s="102" customFormat="1" ht="47.25" x14ac:dyDescent="0.25">
      <c r="A25" s="116">
        <v>9</v>
      </c>
      <c r="B25" s="120" t="s">
        <v>1010</v>
      </c>
      <c r="C25" s="118"/>
      <c r="D25" s="110"/>
      <c r="E25" s="110"/>
      <c r="F25" s="113" t="s">
        <v>994</v>
      </c>
      <c r="G25" s="119" t="s">
        <v>1011</v>
      </c>
      <c r="H25" s="120">
        <v>500</v>
      </c>
      <c r="I25" s="120">
        <v>500</v>
      </c>
      <c r="J25" s="103"/>
      <c r="K25" s="103"/>
      <c r="L25" s="103"/>
      <c r="M25" s="103"/>
      <c r="N25" s="121"/>
      <c r="O25" s="121"/>
      <c r="P25" s="120">
        <v>500</v>
      </c>
      <c r="Q25" s="103"/>
      <c r="R25" s="120">
        <v>500</v>
      </c>
      <c r="S25" s="120">
        <v>500</v>
      </c>
      <c r="T25" s="120">
        <v>500</v>
      </c>
      <c r="U25" s="103"/>
      <c r="V25" s="104"/>
      <c r="W25" s="122"/>
      <c r="X25" s="122"/>
      <c r="Y25" s="122"/>
    </row>
    <row r="26" spans="1:25" s="102" customFormat="1" ht="47.25" x14ac:dyDescent="0.25">
      <c r="A26" s="116">
        <v>10</v>
      </c>
      <c r="B26" s="120" t="s">
        <v>1012</v>
      </c>
      <c r="C26" s="118"/>
      <c r="D26" s="110"/>
      <c r="E26" s="110"/>
      <c r="F26" s="113" t="s">
        <v>994</v>
      </c>
      <c r="G26" s="119" t="s">
        <v>1013</v>
      </c>
      <c r="H26" s="120">
        <v>700</v>
      </c>
      <c r="I26" s="120">
        <v>700</v>
      </c>
      <c r="J26" s="103"/>
      <c r="K26" s="103"/>
      <c r="L26" s="103"/>
      <c r="M26" s="103"/>
      <c r="N26" s="121"/>
      <c r="O26" s="121"/>
      <c r="P26" s="120">
        <v>700</v>
      </c>
      <c r="Q26" s="103"/>
      <c r="R26" s="120">
        <v>700</v>
      </c>
      <c r="S26" s="120">
        <v>700</v>
      </c>
      <c r="T26" s="120">
        <v>700</v>
      </c>
      <c r="U26" s="103"/>
      <c r="V26" s="104"/>
      <c r="W26" s="122"/>
      <c r="X26" s="122"/>
      <c r="Y26" s="122"/>
    </row>
    <row r="27" spans="1:25" s="102" customFormat="1" ht="47.25" x14ac:dyDescent="0.25">
      <c r="A27" s="116">
        <v>11</v>
      </c>
      <c r="B27" s="120" t="s">
        <v>1014</v>
      </c>
      <c r="C27" s="118"/>
      <c r="D27" s="110"/>
      <c r="E27" s="110"/>
      <c r="F27" s="113" t="s">
        <v>994</v>
      </c>
      <c r="G27" s="119" t="s">
        <v>1015</v>
      </c>
      <c r="H27" s="120">
        <v>500</v>
      </c>
      <c r="I27" s="120">
        <v>500</v>
      </c>
      <c r="J27" s="103"/>
      <c r="K27" s="103"/>
      <c r="L27" s="103"/>
      <c r="M27" s="103"/>
      <c r="N27" s="103"/>
      <c r="O27" s="103"/>
      <c r="P27" s="120">
        <v>500</v>
      </c>
      <c r="Q27" s="103"/>
      <c r="R27" s="120">
        <v>500</v>
      </c>
      <c r="S27" s="120">
        <v>500</v>
      </c>
      <c r="T27" s="120">
        <v>500</v>
      </c>
      <c r="U27" s="103"/>
      <c r="V27" s="104"/>
      <c r="W27" s="122"/>
      <c r="X27" s="122"/>
      <c r="Y27" s="122"/>
    </row>
    <row r="28" spans="1:25" s="102" customFormat="1" ht="47.25" x14ac:dyDescent="0.25">
      <c r="A28" s="116">
        <v>12</v>
      </c>
      <c r="B28" s="117" t="s">
        <v>1194</v>
      </c>
      <c r="C28" s="118"/>
      <c r="D28" s="110"/>
      <c r="E28" s="110"/>
      <c r="F28" s="110" t="s">
        <v>992</v>
      </c>
      <c r="G28" s="123" t="s">
        <v>1195</v>
      </c>
      <c r="H28" s="123">
        <v>617</v>
      </c>
      <c r="I28" s="120">
        <v>261</v>
      </c>
      <c r="J28" s="103"/>
      <c r="K28" s="103"/>
      <c r="L28" s="103"/>
      <c r="M28" s="103"/>
      <c r="N28" s="103"/>
      <c r="O28" s="103"/>
      <c r="P28" s="124">
        <v>261</v>
      </c>
      <c r="Q28" s="103"/>
      <c r="R28" s="120">
        <v>261</v>
      </c>
      <c r="S28" s="120">
        <v>261</v>
      </c>
      <c r="T28" s="124">
        <v>261</v>
      </c>
      <c r="U28" s="103"/>
      <c r="V28" s="110" t="s">
        <v>211</v>
      </c>
      <c r="W28" s="122"/>
      <c r="X28" s="122"/>
      <c r="Y28" s="122"/>
    </row>
    <row r="29" spans="1:25" s="102" customFormat="1" ht="47.25" x14ac:dyDescent="0.25">
      <c r="A29" s="116">
        <v>13</v>
      </c>
      <c r="B29" s="117" t="s">
        <v>1196</v>
      </c>
      <c r="C29" s="118"/>
      <c r="D29" s="110"/>
      <c r="E29" s="110"/>
      <c r="F29" s="110" t="s">
        <v>992</v>
      </c>
      <c r="G29" s="123" t="s">
        <v>1197</v>
      </c>
      <c r="H29" s="123">
        <v>1713</v>
      </c>
      <c r="I29" s="120">
        <v>1053</v>
      </c>
      <c r="J29" s="103"/>
      <c r="K29" s="103"/>
      <c r="L29" s="103"/>
      <c r="M29" s="103"/>
      <c r="N29" s="103"/>
      <c r="O29" s="103"/>
      <c r="P29" s="124">
        <v>1053</v>
      </c>
      <c r="Q29" s="103"/>
      <c r="R29" s="120">
        <v>1053</v>
      </c>
      <c r="S29" s="120">
        <v>1053</v>
      </c>
      <c r="T29" s="124">
        <v>1053</v>
      </c>
      <c r="U29" s="103"/>
      <c r="V29" s="110" t="s">
        <v>211</v>
      </c>
      <c r="W29" s="122"/>
      <c r="X29" s="122"/>
      <c r="Y29" s="122"/>
    </row>
    <row r="30" spans="1:25" s="102" customFormat="1" ht="47.25" x14ac:dyDescent="0.25">
      <c r="A30" s="116">
        <v>14</v>
      </c>
      <c r="B30" s="117" t="s">
        <v>1198</v>
      </c>
      <c r="C30" s="118"/>
      <c r="D30" s="110"/>
      <c r="E30" s="110"/>
      <c r="F30" s="125" t="s">
        <v>992</v>
      </c>
      <c r="G30" s="123" t="s">
        <v>1199</v>
      </c>
      <c r="H30" s="123">
        <v>1713</v>
      </c>
      <c r="I30" s="120">
        <v>1053</v>
      </c>
      <c r="J30" s="103"/>
      <c r="K30" s="103"/>
      <c r="L30" s="103"/>
      <c r="M30" s="103"/>
      <c r="N30" s="103"/>
      <c r="O30" s="103"/>
      <c r="P30" s="124">
        <v>1053</v>
      </c>
      <c r="Q30" s="103"/>
      <c r="R30" s="120">
        <v>1053</v>
      </c>
      <c r="S30" s="120">
        <v>1053</v>
      </c>
      <c r="T30" s="124">
        <v>1053</v>
      </c>
      <c r="U30" s="103"/>
      <c r="V30" s="110" t="s">
        <v>211</v>
      </c>
      <c r="W30" s="122"/>
      <c r="X30" s="122"/>
      <c r="Y30" s="122"/>
    </row>
    <row r="31" spans="1:25" s="102" customFormat="1" ht="47.25" x14ac:dyDescent="0.25">
      <c r="A31" s="116">
        <v>15</v>
      </c>
      <c r="B31" s="117" t="s">
        <v>1200</v>
      </c>
      <c r="C31" s="118"/>
      <c r="D31" s="110"/>
      <c r="E31" s="110"/>
      <c r="F31" s="123" t="s">
        <v>992</v>
      </c>
      <c r="G31" s="123" t="s">
        <v>1201</v>
      </c>
      <c r="H31" s="123">
        <v>3166</v>
      </c>
      <c r="I31" s="120">
        <v>2108</v>
      </c>
      <c r="J31" s="103"/>
      <c r="K31" s="103"/>
      <c r="L31" s="103"/>
      <c r="M31" s="103"/>
      <c r="N31" s="103"/>
      <c r="O31" s="103"/>
      <c r="P31" s="124">
        <v>2108</v>
      </c>
      <c r="Q31" s="103"/>
      <c r="R31" s="120">
        <v>2108</v>
      </c>
      <c r="S31" s="120">
        <v>2108</v>
      </c>
      <c r="T31" s="124">
        <v>2108</v>
      </c>
      <c r="U31" s="103"/>
      <c r="V31" s="110" t="s">
        <v>211</v>
      </c>
      <c r="W31" s="122"/>
      <c r="X31" s="122"/>
      <c r="Y31" s="122"/>
    </row>
    <row r="32" spans="1:25" s="102" customFormat="1" ht="47.25" x14ac:dyDescent="0.25">
      <c r="A32" s="116">
        <v>16</v>
      </c>
      <c r="B32" s="117" t="s">
        <v>1202</v>
      </c>
      <c r="C32" s="118"/>
      <c r="D32" s="110"/>
      <c r="E32" s="110"/>
      <c r="F32" s="123" t="s">
        <v>992</v>
      </c>
      <c r="G32" s="123" t="s">
        <v>1203</v>
      </c>
      <c r="H32" s="123">
        <v>2176</v>
      </c>
      <c r="I32" s="120">
        <v>1375</v>
      </c>
      <c r="J32" s="103"/>
      <c r="K32" s="103"/>
      <c r="L32" s="103"/>
      <c r="M32" s="103"/>
      <c r="N32" s="103"/>
      <c r="O32" s="103"/>
      <c r="P32" s="124">
        <v>1375</v>
      </c>
      <c r="Q32" s="103"/>
      <c r="R32" s="120">
        <v>1375</v>
      </c>
      <c r="S32" s="120">
        <v>1375</v>
      </c>
      <c r="T32" s="124">
        <v>1375</v>
      </c>
      <c r="U32" s="103"/>
      <c r="V32" s="110" t="s">
        <v>211</v>
      </c>
      <c r="W32" s="122"/>
      <c r="X32" s="122"/>
      <c r="Y32" s="122"/>
    </row>
    <row r="33" spans="1:25" s="102" customFormat="1" ht="47.25" x14ac:dyDescent="0.25">
      <c r="A33" s="116">
        <v>17</v>
      </c>
      <c r="B33" s="117" t="s">
        <v>1204</v>
      </c>
      <c r="C33" s="118"/>
      <c r="D33" s="110"/>
      <c r="E33" s="110"/>
      <c r="F33" s="123" t="s">
        <v>1205</v>
      </c>
      <c r="G33" s="123" t="s">
        <v>1206</v>
      </c>
      <c r="H33" s="123">
        <v>1312</v>
      </c>
      <c r="I33" s="120">
        <v>525</v>
      </c>
      <c r="J33" s="103"/>
      <c r="K33" s="103"/>
      <c r="L33" s="103"/>
      <c r="M33" s="103"/>
      <c r="N33" s="103"/>
      <c r="O33" s="103"/>
      <c r="P33" s="124">
        <v>525</v>
      </c>
      <c r="Q33" s="103"/>
      <c r="R33" s="120">
        <v>525</v>
      </c>
      <c r="S33" s="120">
        <v>525</v>
      </c>
      <c r="T33" s="124">
        <v>525</v>
      </c>
      <c r="U33" s="103"/>
      <c r="V33" s="110" t="s">
        <v>211</v>
      </c>
      <c r="W33" s="122"/>
      <c r="X33" s="122"/>
      <c r="Y33" s="122"/>
    </row>
    <row r="34" spans="1:25" s="102" customFormat="1" ht="47.25" x14ac:dyDescent="0.25">
      <c r="A34" s="116">
        <v>18</v>
      </c>
      <c r="B34" s="117" t="s">
        <v>1207</v>
      </c>
      <c r="C34" s="118"/>
      <c r="D34" s="110"/>
      <c r="E34" s="110"/>
      <c r="F34" s="123" t="s">
        <v>1205</v>
      </c>
      <c r="G34" s="123" t="s">
        <v>1208</v>
      </c>
      <c r="H34" s="123">
        <v>1378</v>
      </c>
      <c r="I34" s="120">
        <v>490</v>
      </c>
      <c r="J34" s="103"/>
      <c r="K34" s="103"/>
      <c r="L34" s="103"/>
      <c r="M34" s="103"/>
      <c r="N34" s="103"/>
      <c r="O34" s="103"/>
      <c r="P34" s="124">
        <v>238</v>
      </c>
      <c r="Q34" s="103"/>
      <c r="R34" s="120">
        <v>238</v>
      </c>
      <c r="S34" s="120">
        <v>238</v>
      </c>
      <c r="T34" s="124">
        <v>238</v>
      </c>
      <c r="U34" s="103"/>
      <c r="V34" s="110" t="s">
        <v>211</v>
      </c>
      <c r="W34" s="122"/>
      <c r="X34" s="122"/>
      <c r="Y34" s="122"/>
    </row>
    <row r="35" spans="1:25" s="102" customFormat="1" ht="47.25" x14ac:dyDescent="0.25">
      <c r="A35" s="116">
        <v>19</v>
      </c>
      <c r="B35" s="117" t="s">
        <v>1209</v>
      </c>
      <c r="C35" s="118"/>
      <c r="D35" s="110"/>
      <c r="E35" s="110"/>
      <c r="F35" s="123" t="s">
        <v>1205</v>
      </c>
      <c r="G35" s="123" t="s">
        <v>1210</v>
      </c>
      <c r="H35" s="123">
        <v>1297</v>
      </c>
      <c r="I35" s="120">
        <v>519</v>
      </c>
      <c r="J35" s="103"/>
      <c r="K35" s="103"/>
      <c r="L35" s="103"/>
      <c r="M35" s="103"/>
      <c r="N35" s="103"/>
      <c r="O35" s="103"/>
      <c r="P35" s="124">
        <v>519</v>
      </c>
      <c r="Q35" s="103"/>
      <c r="R35" s="120">
        <v>519</v>
      </c>
      <c r="S35" s="120">
        <v>519</v>
      </c>
      <c r="T35" s="124">
        <v>519</v>
      </c>
      <c r="U35" s="103"/>
      <c r="V35" s="110" t="s">
        <v>211</v>
      </c>
      <c r="W35" s="122"/>
      <c r="X35" s="122"/>
      <c r="Y35" s="122"/>
    </row>
    <row r="36" spans="1:25" s="102" customFormat="1" ht="47.25" x14ac:dyDescent="0.25">
      <c r="A36" s="116">
        <v>20</v>
      </c>
      <c r="B36" s="126" t="s">
        <v>1016</v>
      </c>
      <c r="C36" s="118"/>
      <c r="D36" s="110"/>
      <c r="E36" s="110"/>
      <c r="F36" s="127" t="s">
        <v>993</v>
      </c>
      <c r="G36" s="128" t="s">
        <v>1017</v>
      </c>
      <c r="H36" s="129">
        <v>1346</v>
      </c>
      <c r="I36" s="129">
        <v>606</v>
      </c>
      <c r="J36" s="103"/>
      <c r="K36" s="103"/>
      <c r="L36" s="103"/>
      <c r="M36" s="103"/>
      <c r="N36" s="103"/>
      <c r="O36" s="103"/>
      <c r="P36" s="129">
        <v>606</v>
      </c>
      <c r="Q36" s="103"/>
      <c r="R36" s="129">
        <v>606</v>
      </c>
      <c r="S36" s="129">
        <v>606</v>
      </c>
      <c r="T36" s="129">
        <v>606</v>
      </c>
      <c r="U36" s="103"/>
      <c r="V36" s="110" t="s">
        <v>211</v>
      </c>
      <c r="W36" s="122"/>
      <c r="X36" s="122"/>
      <c r="Y36" s="122"/>
    </row>
    <row r="37" spans="1:25" s="102" customFormat="1" ht="47.25" x14ac:dyDescent="0.25">
      <c r="A37" s="116">
        <v>21</v>
      </c>
      <c r="B37" s="126" t="s">
        <v>1018</v>
      </c>
      <c r="C37" s="118"/>
      <c r="D37" s="110"/>
      <c r="E37" s="110"/>
      <c r="F37" s="127" t="s">
        <v>993</v>
      </c>
      <c r="G37" s="128" t="s">
        <v>1017</v>
      </c>
      <c r="H37" s="129">
        <v>1278</v>
      </c>
      <c r="I37" s="129">
        <v>575</v>
      </c>
      <c r="J37" s="103"/>
      <c r="K37" s="103"/>
      <c r="L37" s="103"/>
      <c r="M37" s="103"/>
      <c r="N37" s="103"/>
      <c r="O37" s="103"/>
      <c r="P37" s="129">
        <v>575</v>
      </c>
      <c r="Q37" s="103"/>
      <c r="R37" s="129">
        <v>575</v>
      </c>
      <c r="S37" s="129">
        <v>575</v>
      </c>
      <c r="T37" s="129">
        <v>575</v>
      </c>
      <c r="U37" s="103"/>
      <c r="V37" s="110" t="s">
        <v>211</v>
      </c>
      <c r="W37" s="122"/>
      <c r="X37" s="122"/>
      <c r="Y37" s="122"/>
    </row>
    <row r="38" spans="1:25" s="102" customFormat="1" ht="47.25" x14ac:dyDescent="0.25">
      <c r="A38" s="116">
        <v>22</v>
      </c>
      <c r="B38" s="126" t="s">
        <v>1019</v>
      </c>
      <c r="C38" s="118"/>
      <c r="D38" s="110"/>
      <c r="E38" s="110"/>
      <c r="F38" s="127" t="s">
        <v>993</v>
      </c>
      <c r="G38" s="128" t="s">
        <v>1017</v>
      </c>
      <c r="H38" s="129">
        <v>1278</v>
      </c>
      <c r="I38" s="129">
        <v>575</v>
      </c>
      <c r="J38" s="103"/>
      <c r="K38" s="103"/>
      <c r="L38" s="103"/>
      <c r="M38" s="103"/>
      <c r="N38" s="103"/>
      <c r="O38" s="103"/>
      <c r="P38" s="129">
        <v>575</v>
      </c>
      <c r="Q38" s="103"/>
      <c r="R38" s="129">
        <v>575</v>
      </c>
      <c r="S38" s="129">
        <v>575</v>
      </c>
      <c r="T38" s="129">
        <v>575</v>
      </c>
      <c r="U38" s="103"/>
      <c r="V38" s="110" t="s">
        <v>211</v>
      </c>
      <c r="W38" s="122"/>
      <c r="X38" s="122"/>
      <c r="Y38" s="122"/>
    </row>
    <row r="39" spans="1:25" s="102" customFormat="1" ht="47.25" x14ac:dyDescent="0.25">
      <c r="A39" s="116">
        <v>23</v>
      </c>
      <c r="B39" s="126" t="s">
        <v>1020</v>
      </c>
      <c r="C39" s="130"/>
      <c r="D39" s="104"/>
      <c r="E39" s="104"/>
      <c r="F39" s="127" t="s">
        <v>993</v>
      </c>
      <c r="G39" s="128" t="s">
        <v>1017</v>
      </c>
      <c r="H39" s="129">
        <v>851</v>
      </c>
      <c r="I39" s="129">
        <v>383</v>
      </c>
      <c r="J39" s="107"/>
      <c r="K39" s="107"/>
      <c r="L39" s="107"/>
      <c r="M39" s="107"/>
      <c r="N39" s="107"/>
      <c r="O39" s="107"/>
      <c r="P39" s="129">
        <v>383</v>
      </c>
      <c r="Q39" s="107"/>
      <c r="R39" s="129">
        <v>383</v>
      </c>
      <c r="S39" s="129">
        <v>383</v>
      </c>
      <c r="T39" s="129">
        <v>383</v>
      </c>
      <c r="U39" s="107"/>
      <c r="V39" s="110" t="s">
        <v>211</v>
      </c>
      <c r="W39" s="122"/>
      <c r="X39" s="122"/>
      <c r="Y39" s="122"/>
    </row>
    <row r="40" spans="1:25" s="102" customFormat="1" ht="31.5" x14ac:dyDescent="0.25">
      <c r="A40" s="116">
        <v>24</v>
      </c>
      <c r="B40" s="126" t="s">
        <v>1021</v>
      </c>
      <c r="C40" s="130"/>
      <c r="D40" s="104"/>
      <c r="E40" s="104"/>
      <c r="F40" s="127" t="s">
        <v>993</v>
      </c>
      <c r="G40" s="128" t="s">
        <v>1022</v>
      </c>
      <c r="H40" s="129">
        <v>1061</v>
      </c>
      <c r="I40" s="129">
        <v>702</v>
      </c>
      <c r="J40" s="107"/>
      <c r="K40" s="107"/>
      <c r="L40" s="107"/>
      <c r="M40" s="107"/>
      <c r="N40" s="107"/>
      <c r="O40" s="107"/>
      <c r="P40" s="129">
        <v>702</v>
      </c>
      <c r="Q40" s="107"/>
      <c r="R40" s="129">
        <v>702</v>
      </c>
      <c r="S40" s="129">
        <v>702</v>
      </c>
      <c r="T40" s="129">
        <v>702</v>
      </c>
      <c r="U40" s="107"/>
      <c r="V40" s="110" t="s">
        <v>211</v>
      </c>
      <c r="W40" s="122"/>
      <c r="X40" s="122"/>
      <c r="Y40" s="122"/>
    </row>
  </sheetData>
  <mergeCells count="34">
    <mergeCell ref="A6:A12"/>
    <mergeCell ref="B6:B12"/>
    <mergeCell ref="C6:C12"/>
    <mergeCell ref="D6:D12"/>
    <mergeCell ref="E6:E12"/>
    <mergeCell ref="A1:V1"/>
    <mergeCell ref="A2:V2"/>
    <mergeCell ref="A3:V3"/>
    <mergeCell ref="A4:U4"/>
    <mergeCell ref="A5:V5"/>
    <mergeCell ref="R6:S8"/>
    <mergeCell ref="F6:F12"/>
    <mergeCell ref="G6:I8"/>
    <mergeCell ref="J6:K8"/>
    <mergeCell ref="L6:M8"/>
    <mergeCell ref="N6:O8"/>
    <mergeCell ref="N9:N12"/>
    <mergeCell ref="O9:O12"/>
    <mergeCell ref="T6:U8"/>
    <mergeCell ref="V6:V12"/>
    <mergeCell ref="G9:G12"/>
    <mergeCell ref="H9:H12"/>
    <mergeCell ref="I9:I12"/>
    <mergeCell ref="J9:J12"/>
    <mergeCell ref="K9:K12"/>
    <mergeCell ref="L9:L12"/>
    <mergeCell ref="M9:M12"/>
    <mergeCell ref="P6:Q8"/>
    <mergeCell ref="P9:P12"/>
    <mergeCell ref="Q9:Q12"/>
    <mergeCell ref="R9:R12"/>
    <mergeCell ref="S9:S12"/>
    <mergeCell ref="T9:T12"/>
    <mergeCell ref="U9:U12"/>
  </mergeCells>
  <printOptions horizontalCentered="1"/>
  <pageMargins left="0.11811023622047245" right="0.11811023622047245" top="0.15748031496062992" bottom="0.15748031496062992" header="0.31496062992125984" footer="0.31496062992125984"/>
  <pageSetup paperSize="9" scale="70" orientation="landscape" verticalDpi="0"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00B0F0"/>
  </sheetPr>
  <dimension ref="A1:F38"/>
  <sheetViews>
    <sheetView workbookViewId="0">
      <selection activeCell="M17" sqref="M17"/>
    </sheetView>
  </sheetViews>
  <sheetFormatPr defaultRowHeight="15" x14ac:dyDescent="0.25"/>
  <cols>
    <col min="1" max="1" width="6.28515625" customWidth="1"/>
    <col min="2" max="2" width="45.42578125" customWidth="1"/>
    <col min="3" max="6" width="9.7109375" customWidth="1"/>
  </cols>
  <sheetData>
    <row r="1" spans="1:6" ht="15.75" x14ac:dyDescent="0.25">
      <c r="F1" s="25" t="s">
        <v>634</v>
      </c>
    </row>
    <row r="2" spans="1:6" ht="23.25" customHeight="1" x14ac:dyDescent="0.25">
      <c r="A2" s="448" t="s">
        <v>695</v>
      </c>
      <c r="B2" s="448"/>
      <c r="C2" s="448"/>
      <c r="D2" s="448"/>
      <c r="E2" s="448"/>
      <c r="F2" s="448"/>
    </row>
    <row r="3" spans="1:6" ht="15.75" x14ac:dyDescent="0.25">
      <c r="A3" s="448" t="s">
        <v>126</v>
      </c>
      <c r="B3" s="448"/>
      <c r="C3" s="448"/>
      <c r="D3" s="448"/>
      <c r="E3" s="448"/>
      <c r="F3" s="448"/>
    </row>
    <row r="4" spans="1:6" ht="15.75" x14ac:dyDescent="0.25">
      <c r="F4" s="26" t="s">
        <v>56</v>
      </c>
    </row>
    <row r="5" spans="1:6" ht="15.75" x14ac:dyDescent="0.25">
      <c r="A5" s="449" t="s">
        <v>3</v>
      </c>
      <c r="B5" s="449" t="s">
        <v>355</v>
      </c>
      <c r="C5" s="449" t="s">
        <v>609</v>
      </c>
      <c r="D5" s="449" t="s">
        <v>696</v>
      </c>
      <c r="E5" s="449" t="s">
        <v>229</v>
      </c>
      <c r="F5" s="449"/>
    </row>
    <row r="6" spans="1:6" ht="31.5" x14ac:dyDescent="0.25">
      <c r="A6" s="449"/>
      <c r="B6" s="449"/>
      <c r="C6" s="449"/>
      <c r="D6" s="449"/>
      <c r="E6" s="29" t="s">
        <v>233</v>
      </c>
      <c r="F6" s="29" t="s">
        <v>389</v>
      </c>
    </row>
    <row r="7" spans="1:6" ht="15.75" x14ac:dyDescent="0.25">
      <c r="A7" s="28" t="s">
        <v>15</v>
      </c>
      <c r="B7" s="28" t="s">
        <v>16</v>
      </c>
      <c r="C7" s="28">
        <v>1</v>
      </c>
      <c r="D7" s="28">
        <v>2</v>
      </c>
      <c r="E7" s="28" t="s">
        <v>358</v>
      </c>
      <c r="F7" s="28" t="s">
        <v>359</v>
      </c>
    </row>
    <row r="8" spans="1:6" ht="15.75" x14ac:dyDescent="0.25">
      <c r="A8" s="29" t="s">
        <v>15</v>
      </c>
      <c r="B8" s="30" t="s">
        <v>237</v>
      </c>
      <c r="C8" s="28"/>
      <c r="D8" s="28"/>
      <c r="E8" s="28"/>
      <c r="F8" s="28"/>
    </row>
    <row r="9" spans="1:6" ht="15.75" x14ac:dyDescent="0.25">
      <c r="A9" s="29" t="s">
        <v>83</v>
      </c>
      <c r="B9" s="30" t="s">
        <v>360</v>
      </c>
      <c r="C9" s="28"/>
      <c r="D9" s="28"/>
      <c r="E9" s="28"/>
      <c r="F9" s="28"/>
    </row>
    <row r="10" spans="1:6" ht="15.75" x14ac:dyDescent="0.25">
      <c r="A10" s="28" t="s">
        <v>22</v>
      </c>
      <c r="B10" s="31" t="s">
        <v>361</v>
      </c>
      <c r="C10" s="28"/>
      <c r="D10" s="28"/>
      <c r="E10" s="28"/>
      <c r="F10" s="28"/>
    </row>
    <row r="11" spans="1:6" ht="15.75" x14ac:dyDescent="0.25">
      <c r="A11" s="28" t="s">
        <v>22</v>
      </c>
      <c r="B11" s="31" t="s">
        <v>362</v>
      </c>
      <c r="C11" s="28"/>
      <c r="D11" s="28"/>
      <c r="E11" s="28"/>
      <c r="F11" s="28"/>
    </row>
    <row r="12" spans="1:6" ht="15.75" x14ac:dyDescent="0.25">
      <c r="A12" s="29" t="s">
        <v>70</v>
      </c>
      <c r="B12" s="30" t="s">
        <v>697</v>
      </c>
      <c r="C12" s="28"/>
      <c r="D12" s="28"/>
      <c r="E12" s="28"/>
      <c r="F12" s="28"/>
    </row>
    <row r="13" spans="1:6" ht="15.75" x14ac:dyDescent="0.25">
      <c r="A13" s="28">
        <v>1</v>
      </c>
      <c r="B13" s="31" t="s">
        <v>240</v>
      </c>
      <c r="C13" s="28"/>
      <c r="D13" s="28"/>
      <c r="E13" s="28"/>
      <c r="F13" s="28"/>
    </row>
    <row r="14" spans="1:6" ht="15.75" x14ac:dyDescent="0.25">
      <c r="A14" s="28">
        <v>2</v>
      </c>
      <c r="B14" s="31" t="s">
        <v>88</v>
      </c>
      <c r="C14" s="28"/>
      <c r="D14" s="28"/>
      <c r="E14" s="28"/>
      <c r="F14" s="28"/>
    </row>
    <row r="15" spans="1:6" ht="15.75" x14ac:dyDescent="0.25">
      <c r="A15" s="29" t="s">
        <v>73</v>
      </c>
      <c r="B15" s="30" t="s">
        <v>241</v>
      </c>
      <c r="C15" s="28"/>
      <c r="D15" s="28"/>
      <c r="E15" s="28"/>
      <c r="F15" s="28"/>
    </row>
    <row r="16" spans="1:6" ht="15.75" x14ac:dyDescent="0.25">
      <c r="A16" s="29" t="s">
        <v>77</v>
      </c>
      <c r="B16" s="30" t="s">
        <v>303</v>
      </c>
      <c r="C16" s="28"/>
      <c r="D16" s="28"/>
      <c r="E16" s="28"/>
      <c r="F16" s="28"/>
    </row>
    <row r="17" spans="1:6" ht="15.75" x14ac:dyDescent="0.25">
      <c r="A17" s="29" t="s">
        <v>113</v>
      </c>
      <c r="B17" s="30" t="s">
        <v>243</v>
      </c>
      <c r="C17" s="28"/>
      <c r="D17" s="28"/>
      <c r="E17" s="28"/>
      <c r="F17" s="28"/>
    </row>
    <row r="18" spans="1:6" ht="15.75" x14ac:dyDescent="0.25">
      <c r="A18" s="29" t="s">
        <v>16</v>
      </c>
      <c r="B18" s="30" t="s">
        <v>90</v>
      </c>
      <c r="C18" s="28"/>
      <c r="D18" s="28"/>
      <c r="E18" s="28"/>
      <c r="F18" s="28"/>
    </row>
    <row r="19" spans="1:6" ht="15.75" x14ac:dyDescent="0.25">
      <c r="A19" s="29" t="s">
        <v>83</v>
      </c>
      <c r="B19" s="30" t="s">
        <v>698</v>
      </c>
      <c r="C19" s="28"/>
      <c r="D19" s="28"/>
      <c r="E19" s="28"/>
      <c r="F19" s="28"/>
    </row>
    <row r="20" spans="1:6" ht="15.75" x14ac:dyDescent="0.25">
      <c r="A20" s="28">
        <v>1</v>
      </c>
      <c r="B20" s="31" t="s">
        <v>363</v>
      </c>
      <c r="C20" s="28"/>
      <c r="D20" s="28"/>
      <c r="E20" s="28"/>
      <c r="F20" s="28"/>
    </row>
    <row r="21" spans="1:6" ht="15.75" x14ac:dyDescent="0.25">
      <c r="A21" s="28">
        <v>2</v>
      </c>
      <c r="B21" s="31" t="s">
        <v>96</v>
      </c>
      <c r="C21" s="28"/>
      <c r="D21" s="28"/>
      <c r="E21" s="28"/>
      <c r="F21" s="28"/>
    </row>
    <row r="22" spans="1:6" ht="31.5" x14ac:dyDescent="0.25">
      <c r="A22" s="28">
        <v>3</v>
      </c>
      <c r="B22" s="31" t="s">
        <v>97</v>
      </c>
      <c r="C22" s="28"/>
      <c r="D22" s="28"/>
      <c r="E22" s="28"/>
      <c r="F22" s="28"/>
    </row>
    <row r="23" spans="1:6" ht="15.75" x14ac:dyDescent="0.25">
      <c r="A23" s="28">
        <v>4</v>
      </c>
      <c r="B23" s="31" t="s">
        <v>246</v>
      </c>
      <c r="C23" s="28"/>
      <c r="D23" s="28"/>
      <c r="E23" s="28"/>
      <c r="F23" s="28"/>
    </row>
    <row r="24" spans="1:6" ht="15.75" x14ac:dyDescent="0.25">
      <c r="A24" s="28">
        <v>5</v>
      </c>
      <c r="B24" s="31" t="s">
        <v>247</v>
      </c>
      <c r="C24" s="28"/>
      <c r="D24" s="28"/>
      <c r="E24" s="28"/>
      <c r="F24" s="28"/>
    </row>
    <row r="25" spans="1:6" ht="15.75" x14ac:dyDescent="0.25">
      <c r="A25" s="28">
        <v>6</v>
      </c>
      <c r="B25" s="31" t="s">
        <v>98</v>
      </c>
      <c r="C25" s="28"/>
      <c r="D25" s="28"/>
      <c r="E25" s="28"/>
      <c r="F25" s="28"/>
    </row>
    <row r="26" spans="1:6" ht="15.75" x14ac:dyDescent="0.25">
      <c r="A26" s="29" t="s">
        <v>70</v>
      </c>
      <c r="B26" s="30" t="s">
        <v>248</v>
      </c>
      <c r="C26" s="28"/>
      <c r="D26" s="28"/>
      <c r="E26" s="28"/>
      <c r="F26" s="28"/>
    </row>
    <row r="27" spans="1:6" ht="15.75" x14ac:dyDescent="0.25">
      <c r="A27" s="28">
        <v>1</v>
      </c>
      <c r="B27" s="31" t="s">
        <v>249</v>
      </c>
      <c r="C27" s="28"/>
      <c r="D27" s="28"/>
      <c r="E27" s="28"/>
      <c r="F27" s="28"/>
    </row>
    <row r="28" spans="1:6" ht="15.75" x14ac:dyDescent="0.25">
      <c r="A28" s="28">
        <v>2</v>
      </c>
      <c r="B28" s="31" t="s">
        <v>250</v>
      </c>
      <c r="C28" s="28"/>
      <c r="D28" s="28"/>
      <c r="E28" s="28"/>
      <c r="F28" s="28"/>
    </row>
    <row r="29" spans="1:6" ht="15.75" x14ac:dyDescent="0.25">
      <c r="A29" s="29" t="s">
        <v>73</v>
      </c>
      <c r="B29" s="30" t="s">
        <v>251</v>
      </c>
      <c r="C29" s="28"/>
      <c r="D29" s="28"/>
      <c r="E29" s="28"/>
      <c r="F29" s="28"/>
    </row>
    <row r="30" spans="1:6" ht="31.5" x14ac:dyDescent="0.25">
      <c r="A30" s="29" t="s">
        <v>79</v>
      </c>
      <c r="B30" s="30" t="s">
        <v>699</v>
      </c>
      <c r="C30" s="28"/>
      <c r="D30" s="28"/>
      <c r="E30" s="28"/>
      <c r="F30" s="28"/>
    </row>
    <row r="31" spans="1:6" ht="15.75" x14ac:dyDescent="0.25">
      <c r="A31" s="29" t="s">
        <v>89</v>
      </c>
      <c r="B31" s="30" t="s">
        <v>700</v>
      </c>
      <c r="C31" s="28"/>
      <c r="D31" s="28"/>
      <c r="E31" s="28"/>
      <c r="F31" s="28"/>
    </row>
    <row r="32" spans="1:6" ht="15.75" x14ac:dyDescent="0.25">
      <c r="A32" s="29" t="s">
        <v>83</v>
      </c>
      <c r="B32" s="30" t="s">
        <v>108</v>
      </c>
      <c r="C32" s="28"/>
      <c r="D32" s="28"/>
      <c r="E32" s="28"/>
      <c r="F32" s="28"/>
    </row>
    <row r="33" spans="1:6" ht="31.5" x14ac:dyDescent="0.25">
      <c r="A33" s="29" t="s">
        <v>70</v>
      </c>
      <c r="B33" s="30" t="s">
        <v>257</v>
      </c>
      <c r="C33" s="28"/>
      <c r="D33" s="28"/>
      <c r="E33" s="28"/>
      <c r="F33" s="28"/>
    </row>
    <row r="34" spans="1:6" ht="15.75" x14ac:dyDescent="0.25">
      <c r="A34" s="29" t="s">
        <v>99</v>
      </c>
      <c r="B34" s="30" t="s">
        <v>364</v>
      </c>
      <c r="C34" s="28"/>
      <c r="D34" s="28"/>
      <c r="E34" s="28"/>
      <c r="F34" s="28"/>
    </row>
    <row r="35" spans="1:6" ht="15.75" x14ac:dyDescent="0.25">
      <c r="A35" s="29" t="s">
        <v>83</v>
      </c>
      <c r="B35" s="30" t="s">
        <v>111</v>
      </c>
      <c r="C35" s="28"/>
      <c r="D35" s="28"/>
      <c r="E35" s="28"/>
      <c r="F35" s="28"/>
    </row>
    <row r="36" spans="1:6" ht="15.75" x14ac:dyDescent="0.25">
      <c r="A36" s="29" t="s">
        <v>70</v>
      </c>
      <c r="B36" s="30" t="s">
        <v>112</v>
      </c>
      <c r="C36" s="28"/>
      <c r="D36" s="28"/>
      <c r="E36" s="28"/>
      <c r="F36" s="28"/>
    </row>
    <row r="37" spans="1:6" ht="31.5" x14ac:dyDescent="0.25">
      <c r="A37" s="29" t="s">
        <v>101</v>
      </c>
      <c r="B37" s="30" t="s">
        <v>701</v>
      </c>
      <c r="C37" s="28"/>
      <c r="D37" s="28"/>
      <c r="E37" s="28"/>
      <c r="F37" s="28"/>
    </row>
    <row r="38" spans="1:6" ht="60" customHeight="1" x14ac:dyDescent="0.25">
      <c r="A38" s="543" t="s">
        <v>702</v>
      </c>
      <c r="B38" s="543"/>
      <c r="C38" s="543"/>
      <c r="D38" s="543"/>
      <c r="E38" s="543"/>
      <c r="F38" s="543"/>
    </row>
  </sheetData>
  <mergeCells count="8">
    <mergeCell ref="A2:F2"/>
    <mergeCell ref="A3:F3"/>
    <mergeCell ref="A38:F38"/>
    <mergeCell ref="A5:A6"/>
    <mergeCell ref="B5:B6"/>
    <mergeCell ref="C5:C6"/>
    <mergeCell ref="D5:D6"/>
    <mergeCell ref="E5:F5"/>
  </mergeCells>
  <pageMargins left="0.7" right="0.7" top="0.75" bottom="0.75" header="0.3" footer="0.3"/>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00B0F0"/>
  </sheetPr>
  <dimension ref="A1:E43"/>
  <sheetViews>
    <sheetView workbookViewId="0">
      <selection activeCell="M17" sqref="M17"/>
    </sheetView>
  </sheetViews>
  <sheetFormatPr defaultRowHeight="15" x14ac:dyDescent="0.25"/>
  <cols>
    <col min="1" max="1" width="6.42578125" customWidth="1"/>
    <col min="2" max="2" width="47.140625" customWidth="1"/>
    <col min="3" max="5" width="11.5703125" customWidth="1"/>
  </cols>
  <sheetData>
    <row r="1" spans="1:5" ht="15.75" x14ac:dyDescent="0.25">
      <c r="E1" s="25" t="s">
        <v>635</v>
      </c>
    </row>
    <row r="2" spans="1:5" ht="40.5" customHeight="1" x14ac:dyDescent="0.25">
      <c r="A2" s="448" t="s">
        <v>703</v>
      </c>
      <c r="B2" s="448"/>
      <c r="C2" s="448"/>
      <c r="D2" s="448"/>
      <c r="E2" s="448"/>
    </row>
    <row r="3" spans="1:5" ht="15.75" x14ac:dyDescent="0.25">
      <c r="A3" s="448" t="s">
        <v>458</v>
      </c>
      <c r="B3" s="448"/>
      <c r="C3" s="448"/>
      <c r="D3" s="448"/>
      <c r="E3" s="448"/>
    </row>
    <row r="4" spans="1:5" ht="15.75" x14ac:dyDescent="0.25">
      <c r="E4" s="26" t="s">
        <v>56</v>
      </c>
    </row>
    <row r="5" spans="1:5" ht="31.5" x14ac:dyDescent="0.25">
      <c r="A5" s="29" t="s">
        <v>3</v>
      </c>
      <c r="B5" s="29" t="s">
        <v>4</v>
      </c>
      <c r="C5" s="29" t="s">
        <v>609</v>
      </c>
      <c r="D5" s="29" t="s">
        <v>696</v>
      </c>
      <c r="E5" s="29" t="s">
        <v>366</v>
      </c>
    </row>
    <row r="6" spans="1:5" ht="15.75" x14ac:dyDescent="0.25">
      <c r="A6" s="29" t="s">
        <v>15</v>
      </c>
      <c r="B6" s="29" t="s">
        <v>16</v>
      </c>
      <c r="C6" s="29">
        <v>1</v>
      </c>
      <c r="D6" s="29">
        <v>2</v>
      </c>
      <c r="E6" s="29">
        <v>3</v>
      </c>
    </row>
    <row r="7" spans="1:5" ht="15.75" x14ac:dyDescent="0.25">
      <c r="A7" s="29" t="s">
        <v>15</v>
      </c>
      <c r="B7" s="30" t="s">
        <v>459</v>
      </c>
      <c r="C7" s="28"/>
      <c r="D7" s="28"/>
      <c r="E7" s="28"/>
    </row>
    <row r="8" spans="1:5" ht="15.75" x14ac:dyDescent="0.25">
      <c r="A8" s="29" t="s">
        <v>83</v>
      </c>
      <c r="B8" s="30" t="s">
        <v>300</v>
      </c>
      <c r="C8" s="28"/>
      <c r="D8" s="28"/>
      <c r="E8" s="28"/>
    </row>
    <row r="9" spans="1:5" ht="15.75" x14ac:dyDescent="0.25">
      <c r="A9" s="28">
        <v>1</v>
      </c>
      <c r="B9" s="31" t="s">
        <v>301</v>
      </c>
      <c r="C9" s="28"/>
      <c r="D9" s="28"/>
      <c r="E9" s="28"/>
    </row>
    <row r="10" spans="1:5" ht="15.75" x14ac:dyDescent="0.25">
      <c r="A10" s="28">
        <v>2</v>
      </c>
      <c r="B10" s="31" t="s">
        <v>302</v>
      </c>
      <c r="C10" s="28"/>
      <c r="D10" s="28"/>
      <c r="E10" s="28"/>
    </row>
    <row r="11" spans="1:5" ht="15.75" x14ac:dyDescent="0.25">
      <c r="A11" s="28" t="s">
        <v>22</v>
      </c>
      <c r="B11" s="31" t="s">
        <v>704</v>
      </c>
      <c r="C11" s="28"/>
      <c r="D11" s="28"/>
      <c r="E11" s="28"/>
    </row>
    <row r="12" spans="1:5" ht="15.75" x14ac:dyDescent="0.25">
      <c r="A12" s="28" t="s">
        <v>22</v>
      </c>
      <c r="B12" s="31" t="s">
        <v>705</v>
      </c>
      <c r="C12" s="28"/>
      <c r="D12" s="28"/>
      <c r="E12" s="28"/>
    </row>
    <row r="13" spans="1:5" ht="15.75" x14ac:dyDescent="0.25">
      <c r="A13" s="28">
        <v>3</v>
      </c>
      <c r="B13" s="31" t="s">
        <v>460</v>
      </c>
      <c r="C13" s="28"/>
      <c r="D13" s="28"/>
      <c r="E13" s="28"/>
    </row>
    <row r="14" spans="1:5" ht="15.75" x14ac:dyDescent="0.25">
      <c r="A14" s="28">
        <v>4</v>
      </c>
      <c r="B14" s="31" t="s">
        <v>303</v>
      </c>
      <c r="C14" s="28"/>
      <c r="D14" s="28"/>
      <c r="E14" s="28"/>
    </row>
    <row r="15" spans="1:5" ht="15.75" x14ac:dyDescent="0.25">
      <c r="A15" s="28">
        <v>5</v>
      </c>
      <c r="B15" s="31" t="s">
        <v>243</v>
      </c>
      <c r="C15" s="28"/>
      <c r="D15" s="28"/>
      <c r="E15" s="28"/>
    </row>
    <row r="16" spans="1:5" ht="15.75" x14ac:dyDescent="0.25">
      <c r="A16" s="29" t="s">
        <v>70</v>
      </c>
      <c r="B16" s="30" t="s">
        <v>304</v>
      </c>
      <c r="C16" s="28"/>
      <c r="D16" s="28"/>
      <c r="E16" s="28"/>
    </row>
    <row r="17" spans="1:5" ht="15.75" x14ac:dyDescent="0.25">
      <c r="A17" s="28">
        <v>1</v>
      </c>
      <c r="B17" s="31" t="s">
        <v>461</v>
      </c>
      <c r="C17" s="28"/>
      <c r="D17" s="28"/>
      <c r="E17" s="28"/>
    </row>
    <row r="18" spans="1:5" ht="15.75" x14ac:dyDescent="0.25">
      <c r="A18" s="28">
        <v>2</v>
      </c>
      <c r="B18" s="31" t="s">
        <v>313</v>
      </c>
      <c r="C18" s="28"/>
      <c r="D18" s="28"/>
      <c r="E18" s="28"/>
    </row>
    <row r="19" spans="1:5" ht="15.75" x14ac:dyDescent="0.25">
      <c r="A19" s="28" t="s">
        <v>22</v>
      </c>
      <c r="B19" s="31" t="s">
        <v>307</v>
      </c>
      <c r="C19" s="28"/>
      <c r="D19" s="28"/>
      <c r="E19" s="28"/>
    </row>
    <row r="20" spans="1:5" ht="15.75" x14ac:dyDescent="0.25">
      <c r="A20" s="28" t="s">
        <v>22</v>
      </c>
      <c r="B20" s="31" t="s">
        <v>308</v>
      </c>
      <c r="C20" s="28"/>
      <c r="D20" s="28"/>
      <c r="E20" s="28"/>
    </row>
    <row r="21" spans="1:5" ht="15.75" x14ac:dyDescent="0.25">
      <c r="A21" s="28">
        <v>3</v>
      </c>
      <c r="B21" s="31" t="s">
        <v>251</v>
      </c>
      <c r="C21" s="28"/>
      <c r="D21" s="28"/>
      <c r="E21" s="28"/>
    </row>
    <row r="22" spans="1:5" ht="31.5" x14ac:dyDescent="0.25">
      <c r="A22" s="29" t="s">
        <v>73</v>
      </c>
      <c r="B22" s="30" t="s">
        <v>706</v>
      </c>
      <c r="C22" s="28"/>
      <c r="D22" s="28"/>
      <c r="E22" s="28"/>
    </row>
    <row r="23" spans="1:5" ht="15.75" x14ac:dyDescent="0.25">
      <c r="A23" s="29" t="s">
        <v>77</v>
      </c>
      <c r="B23" s="30" t="s">
        <v>707</v>
      </c>
      <c r="C23" s="28"/>
      <c r="D23" s="28"/>
      <c r="E23" s="28"/>
    </row>
    <row r="24" spans="1:5" ht="15.75" x14ac:dyDescent="0.25">
      <c r="A24" s="29" t="s">
        <v>16</v>
      </c>
      <c r="B24" s="30" t="s">
        <v>462</v>
      </c>
      <c r="C24" s="28"/>
      <c r="D24" s="28"/>
      <c r="E24" s="28"/>
    </row>
    <row r="25" spans="1:5" ht="15.75" x14ac:dyDescent="0.25">
      <c r="A25" s="29" t="s">
        <v>83</v>
      </c>
      <c r="B25" s="30" t="s">
        <v>300</v>
      </c>
      <c r="C25" s="28"/>
      <c r="D25" s="28"/>
      <c r="E25" s="28"/>
    </row>
    <row r="26" spans="1:5" ht="15.75" x14ac:dyDescent="0.25">
      <c r="A26" s="28">
        <v>1</v>
      </c>
      <c r="B26" s="31" t="s">
        <v>301</v>
      </c>
      <c r="C26" s="28"/>
      <c r="D26" s="28"/>
      <c r="E26" s="28"/>
    </row>
    <row r="27" spans="1:5" ht="15.75" x14ac:dyDescent="0.25">
      <c r="A27" s="28">
        <v>2</v>
      </c>
      <c r="B27" s="31" t="s">
        <v>302</v>
      </c>
      <c r="C27" s="28"/>
      <c r="D27" s="28"/>
      <c r="E27" s="28"/>
    </row>
    <row r="28" spans="1:5" ht="15.75" x14ac:dyDescent="0.25">
      <c r="A28" s="28" t="s">
        <v>22</v>
      </c>
      <c r="B28" s="31" t="s">
        <v>240</v>
      </c>
      <c r="C28" s="28"/>
      <c r="D28" s="28"/>
      <c r="E28" s="28"/>
    </row>
    <row r="29" spans="1:5" ht="15.75" x14ac:dyDescent="0.25">
      <c r="A29" s="28" t="s">
        <v>22</v>
      </c>
      <c r="B29" s="31" t="s">
        <v>88</v>
      </c>
      <c r="C29" s="28"/>
      <c r="D29" s="28"/>
      <c r="E29" s="28"/>
    </row>
    <row r="30" spans="1:5" ht="15.75" x14ac:dyDescent="0.25">
      <c r="A30" s="28">
        <v>3</v>
      </c>
      <c r="B30" s="31" t="s">
        <v>303</v>
      </c>
      <c r="C30" s="28"/>
      <c r="D30" s="28"/>
      <c r="E30" s="28"/>
    </row>
    <row r="31" spans="1:5" ht="15.75" x14ac:dyDescent="0.25">
      <c r="A31" s="28">
        <v>4</v>
      </c>
      <c r="B31" s="31" t="s">
        <v>243</v>
      </c>
      <c r="C31" s="28"/>
      <c r="D31" s="28"/>
      <c r="E31" s="28"/>
    </row>
    <row r="32" spans="1:5" ht="15.75" x14ac:dyDescent="0.25">
      <c r="A32" s="29" t="s">
        <v>70</v>
      </c>
      <c r="B32" s="30" t="s">
        <v>304</v>
      </c>
      <c r="C32" s="28"/>
      <c r="D32" s="28"/>
      <c r="E32" s="28"/>
    </row>
    <row r="33" spans="1:5" ht="15.75" x14ac:dyDescent="0.25">
      <c r="A33" s="28">
        <v>1</v>
      </c>
      <c r="B33" s="31" t="s">
        <v>463</v>
      </c>
      <c r="C33" s="28"/>
      <c r="D33" s="28"/>
      <c r="E33" s="28"/>
    </row>
    <row r="34" spans="1:5" ht="15.75" x14ac:dyDescent="0.25">
      <c r="A34" s="28">
        <v>2</v>
      </c>
      <c r="B34" s="31" t="s">
        <v>593</v>
      </c>
      <c r="C34" s="28"/>
      <c r="D34" s="28"/>
      <c r="E34" s="28"/>
    </row>
    <row r="35" spans="1:5" ht="15.75" x14ac:dyDescent="0.25">
      <c r="A35" s="28" t="s">
        <v>22</v>
      </c>
      <c r="B35" s="31" t="s">
        <v>307</v>
      </c>
      <c r="C35" s="28"/>
      <c r="D35" s="28"/>
      <c r="E35" s="28"/>
    </row>
    <row r="36" spans="1:5" ht="15.75" x14ac:dyDescent="0.25">
      <c r="A36" s="28" t="s">
        <v>22</v>
      </c>
      <c r="B36" s="31" t="s">
        <v>308</v>
      </c>
      <c r="C36" s="28"/>
      <c r="D36" s="28"/>
      <c r="E36" s="28"/>
    </row>
    <row r="37" spans="1:5" ht="15.75" x14ac:dyDescent="0.25">
      <c r="A37" s="28">
        <v>3</v>
      </c>
      <c r="B37" s="31" t="s">
        <v>251</v>
      </c>
      <c r="C37" s="28"/>
      <c r="D37" s="28"/>
      <c r="E37" s="28"/>
    </row>
    <row r="38" spans="1:5" ht="15.75" x14ac:dyDescent="0.25">
      <c r="A38" s="29" t="s">
        <v>73</v>
      </c>
      <c r="B38" s="30" t="s">
        <v>708</v>
      </c>
      <c r="C38" s="28"/>
      <c r="D38" s="28"/>
      <c r="E38" s="28"/>
    </row>
    <row r="39" spans="1:5" ht="15.75" x14ac:dyDescent="0.25">
      <c r="A39" s="27" t="s">
        <v>528</v>
      </c>
    </row>
    <row r="40" spans="1:5" ht="43.5" customHeight="1" x14ac:dyDescent="0.25">
      <c r="A40" s="447" t="s">
        <v>709</v>
      </c>
      <c r="B40" s="447"/>
      <c r="C40" s="447"/>
      <c r="D40" s="447"/>
      <c r="E40" s="447"/>
    </row>
    <row r="41" spans="1:5" ht="15.75" x14ac:dyDescent="0.25">
      <c r="A41" s="447" t="s">
        <v>594</v>
      </c>
      <c r="B41" s="447"/>
      <c r="C41" s="447"/>
      <c r="D41" s="447"/>
      <c r="E41" s="447"/>
    </row>
    <row r="42" spans="1:5" x14ac:dyDescent="0.25">
      <c r="A42" s="40"/>
    </row>
    <row r="43" spans="1:5" x14ac:dyDescent="0.25">
      <c r="A43" s="40"/>
    </row>
  </sheetData>
  <mergeCells count="4">
    <mergeCell ref="A2:E2"/>
    <mergeCell ref="A3:E3"/>
    <mergeCell ref="A40:E40"/>
    <mergeCell ref="A41:E4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H40"/>
  <sheetViews>
    <sheetView workbookViewId="0">
      <selection activeCell="E15" sqref="E15"/>
    </sheetView>
  </sheetViews>
  <sheetFormatPr defaultColWidth="9.140625" defaultRowHeight="15" x14ac:dyDescent="0.25"/>
  <cols>
    <col min="1" max="1" width="6.28515625" style="7" customWidth="1"/>
    <col min="2" max="2" width="37.28515625" style="7" customWidth="1"/>
    <col min="3" max="4" width="11" style="7" customWidth="1"/>
    <col min="5" max="6" width="12.42578125" style="7" customWidth="1"/>
    <col min="7" max="16384" width="9.140625" style="7"/>
  </cols>
  <sheetData>
    <row r="1" spans="1:6" ht="22.5" customHeight="1" x14ac:dyDescent="0.25">
      <c r="A1" s="422" t="s">
        <v>457</v>
      </c>
      <c r="B1" s="422"/>
      <c r="C1" s="422"/>
      <c r="D1" s="422"/>
      <c r="E1" s="422"/>
      <c r="F1" s="422"/>
    </row>
    <row r="2" spans="1:6" ht="38.25" customHeight="1" x14ac:dyDescent="0.25">
      <c r="A2" s="423" t="s">
        <v>1095</v>
      </c>
      <c r="B2" s="423"/>
      <c r="C2" s="423"/>
      <c r="D2" s="423"/>
      <c r="E2" s="423"/>
      <c r="F2" s="423"/>
    </row>
    <row r="3" spans="1:6" x14ac:dyDescent="0.25">
      <c r="A3" s="423"/>
      <c r="B3" s="423"/>
      <c r="C3" s="423"/>
      <c r="D3" s="423"/>
      <c r="E3" s="423"/>
      <c r="F3" s="423"/>
    </row>
    <row r="4" spans="1:6" x14ac:dyDescent="0.25">
      <c r="B4" s="1"/>
      <c r="C4" s="1"/>
      <c r="E4" s="424" t="s">
        <v>56</v>
      </c>
      <c r="F4" s="424"/>
    </row>
    <row r="5" spans="1:6" x14ac:dyDescent="0.25">
      <c r="A5" s="421" t="s">
        <v>3</v>
      </c>
      <c r="B5" s="421" t="s">
        <v>4</v>
      </c>
      <c r="C5" s="421" t="s">
        <v>931</v>
      </c>
      <c r="D5" s="421" t="s">
        <v>932</v>
      </c>
      <c r="E5" s="421" t="s">
        <v>229</v>
      </c>
      <c r="F5" s="421"/>
    </row>
    <row r="6" spans="1:6" ht="38.25" customHeight="1" x14ac:dyDescent="0.25">
      <c r="A6" s="421"/>
      <c r="B6" s="421"/>
      <c r="C6" s="421"/>
      <c r="D6" s="421"/>
      <c r="E6" s="2" t="s">
        <v>233</v>
      </c>
      <c r="F6" s="2" t="s">
        <v>406</v>
      </c>
    </row>
    <row r="7" spans="1:6" x14ac:dyDescent="0.25">
      <c r="A7" s="2" t="s">
        <v>15</v>
      </c>
      <c r="B7" s="2" t="s">
        <v>16</v>
      </c>
      <c r="C7" s="2">
        <v>1</v>
      </c>
      <c r="D7" s="2">
        <v>2</v>
      </c>
      <c r="E7" s="2" t="s">
        <v>358</v>
      </c>
      <c r="F7" s="2" t="s">
        <v>359</v>
      </c>
    </row>
    <row r="8" spans="1:6" x14ac:dyDescent="0.25">
      <c r="A8" s="2" t="s">
        <v>15</v>
      </c>
      <c r="B8" s="14" t="s">
        <v>459</v>
      </c>
      <c r="C8" s="77"/>
      <c r="D8" s="77"/>
      <c r="E8" s="77"/>
      <c r="F8" s="77"/>
    </row>
    <row r="9" spans="1:6" x14ac:dyDescent="0.25">
      <c r="A9" s="2" t="s">
        <v>83</v>
      </c>
      <c r="B9" s="14" t="s">
        <v>300</v>
      </c>
      <c r="C9" s="77"/>
      <c r="D9" s="77"/>
      <c r="E9" s="77"/>
      <c r="F9" s="77"/>
    </row>
    <row r="10" spans="1:6" x14ac:dyDescent="0.25">
      <c r="A10" s="3">
        <v>1</v>
      </c>
      <c r="B10" s="4" t="s">
        <v>301</v>
      </c>
      <c r="C10" s="77"/>
      <c r="D10" s="77"/>
      <c r="E10" s="77"/>
      <c r="F10" s="134"/>
    </row>
    <row r="11" spans="1:6" x14ac:dyDescent="0.25">
      <c r="A11" s="3">
        <v>2</v>
      </c>
      <c r="B11" s="4" t="s">
        <v>302</v>
      </c>
      <c r="C11" s="77"/>
      <c r="D11" s="77"/>
      <c r="E11" s="77"/>
      <c r="F11" s="134"/>
    </row>
    <row r="12" spans="1:6" x14ac:dyDescent="0.25">
      <c r="A12" s="3" t="s">
        <v>22</v>
      </c>
      <c r="B12" s="4" t="s">
        <v>240</v>
      </c>
      <c r="C12" s="77"/>
      <c r="D12" s="77"/>
      <c r="E12" s="77"/>
      <c r="F12" s="134"/>
    </row>
    <row r="13" spans="1:6" x14ac:dyDescent="0.25">
      <c r="A13" s="3" t="s">
        <v>22</v>
      </c>
      <c r="B13" s="4" t="s">
        <v>88</v>
      </c>
      <c r="C13" s="77"/>
      <c r="D13" s="77"/>
      <c r="E13" s="77"/>
      <c r="F13" s="134"/>
    </row>
    <row r="14" spans="1:6" x14ac:dyDescent="0.25">
      <c r="A14" s="3">
        <v>3</v>
      </c>
      <c r="B14" s="4" t="s">
        <v>460</v>
      </c>
      <c r="C14" s="77"/>
      <c r="D14" s="77"/>
      <c r="E14" s="77"/>
      <c r="F14" s="77"/>
    </row>
    <row r="15" spans="1:6" x14ac:dyDescent="0.25">
      <c r="A15" s="3">
        <v>4</v>
      </c>
      <c r="B15" s="4" t="s">
        <v>242</v>
      </c>
      <c r="C15" s="77"/>
      <c r="D15" s="77"/>
      <c r="E15" s="77"/>
      <c r="F15" s="77"/>
    </row>
    <row r="16" spans="1:6" ht="30" x14ac:dyDescent="0.25">
      <c r="A16" s="3">
        <v>5</v>
      </c>
      <c r="B16" s="4" t="s">
        <v>243</v>
      </c>
      <c r="C16" s="77"/>
      <c r="D16" s="77"/>
      <c r="E16" s="77"/>
      <c r="F16" s="77"/>
    </row>
    <row r="17" spans="1:8" x14ac:dyDescent="0.25">
      <c r="A17" s="2" t="s">
        <v>70</v>
      </c>
      <c r="B17" s="14" t="s">
        <v>311</v>
      </c>
      <c r="C17" s="77"/>
      <c r="D17" s="77"/>
      <c r="E17" s="77"/>
      <c r="F17" s="77"/>
    </row>
    <row r="18" spans="1:8" ht="30" x14ac:dyDescent="0.25">
      <c r="A18" s="3">
        <v>1</v>
      </c>
      <c r="B18" s="4" t="s">
        <v>1096</v>
      </c>
      <c r="C18" s="77"/>
      <c r="D18" s="77"/>
      <c r="E18" s="77"/>
      <c r="F18" s="134"/>
    </row>
    <row r="19" spans="1:8" x14ac:dyDescent="0.25">
      <c r="A19" s="3">
        <v>2</v>
      </c>
      <c r="B19" s="4" t="s">
        <v>313</v>
      </c>
      <c r="C19" s="77"/>
      <c r="D19" s="77"/>
      <c r="E19" s="77"/>
      <c r="F19" s="134"/>
    </row>
    <row r="20" spans="1:8" x14ac:dyDescent="0.25">
      <c r="A20" s="3" t="s">
        <v>22</v>
      </c>
      <c r="B20" s="4" t="s">
        <v>307</v>
      </c>
      <c r="C20" s="77"/>
      <c r="D20" s="77"/>
      <c r="E20" s="77"/>
      <c r="F20" s="134"/>
    </row>
    <row r="21" spans="1:8" x14ac:dyDescent="0.25">
      <c r="A21" s="3" t="s">
        <v>22</v>
      </c>
      <c r="B21" s="4" t="s">
        <v>308</v>
      </c>
      <c r="C21" s="77"/>
      <c r="D21" s="77"/>
      <c r="E21" s="77"/>
      <c r="F21" s="134"/>
    </row>
    <row r="22" spans="1:8" x14ac:dyDescent="0.25">
      <c r="A22" s="3">
        <v>3</v>
      </c>
      <c r="B22" s="4" t="s">
        <v>251</v>
      </c>
      <c r="C22" s="77"/>
      <c r="D22" s="77"/>
      <c r="E22" s="77"/>
      <c r="F22" s="77"/>
    </row>
    <row r="23" spans="1:8" x14ac:dyDescent="0.25">
      <c r="A23" s="2" t="s">
        <v>73</v>
      </c>
      <c r="B23" s="14" t="s">
        <v>309</v>
      </c>
      <c r="C23" s="77"/>
      <c r="D23" s="77"/>
      <c r="E23" s="77"/>
      <c r="F23" s="77"/>
    </row>
    <row r="24" spans="1:8" x14ac:dyDescent="0.25">
      <c r="A24" s="2" t="s">
        <v>16</v>
      </c>
      <c r="B24" s="14" t="s">
        <v>462</v>
      </c>
      <c r="C24" s="77"/>
      <c r="D24" s="77"/>
      <c r="E24" s="77"/>
      <c r="F24" s="77"/>
    </row>
    <row r="25" spans="1:8" x14ac:dyDescent="0.25">
      <c r="A25" s="2" t="s">
        <v>83</v>
      </c>
      <c r="B25" s="14" t="s">
        <v>300</v>
      </c>
      <c r="C25" s="77">
        <f>C26+C27+C30+C31</f>
        <v>765099</v>
      </c>
      <c r="D25" s="77">
        <f>D26+D27+D30+D31</f>
        <v>771554.75</v>
      </c>
      <c r="E25" s="77"/>
      <c r="F25" s="77"/>
    </row>
    <row r="26" spans="1:8" x14ac:dyDescent="0.25">
      <c r="A26" s="3">
        <v>1</v>
      </c>
      <c r="B26" s="4" t="s">
        <v>301</v>
      </c>
      <c r="C26" s="77">
        <v>56845</v>
      </c>
      <c r="D26" s="77">
        <f>(58298+3385)-4085*85%</f>
        <v>58210.75</v>
      </c>
      <c r="E26" s="77">
        <f>D26-C26</f>
        <v>1365.75</v>
      </c>
      <c r="F26" s="134">
        <f>D26/C26*100</f>
        <v>102.40258597941772</v>
      </c>
      <c r="G26" s="135">
        <f>768254-C25</f>
        <v>3155</v>
      </c>
      <c r="H26" s="7">
        <f>88</f>
        <v>88</v>
      </c>
    </row>
    <row r="27" spans="1:8" x14ac:dyDescent="0.25">
      <c r="A27" s="3">
        <v>2</v>
      </c>
      <c r="B27" s="4" t="s">
        <v>302</v>
      </c>
      <c r="C27" s="77">
        <f>C28+C29</f>
        <v>603344</v>
      </c>
      <c r="D27" s="77">
        <f>D28+D29</f>
        <v>603344</v>
      </c>
      <c r="E27" s="77">
        <f t="shared" ref="E27:E29" si="0">D27-C27</f>
        <v>0</v>
      </c>
      <c r="F27" s="134">
        <f>D27/C27*100</f>
        <v>100</v>
      </c>
    </row>
    <row r="28" spans="1:8" x14ac:dyDescent="0.25">
      <c r="A28" s="3" t="s">
        <v>22</v>
      </c>
      <c r="B28" s="4" t="s">
        <v>240</v>
      </c>
      <c r="C28" s="77">
        <v>467351</v>
      </c>
      <c r="D28" s="77">
        <f>C28</f>
        <v>467351</v>
      </c>
      <c r="E28" s="77">
        <f t="shared" si="0"/>
        <v>0</v>
      </c>
      <c r="F28" s="134">
        <f t="shared" ref="F28:F29" si="1">D28/C28*100</f>
        <v>100</v>
      </c>
    </row>
    <row r="29" spans="1:8" x14ac:dyDescent="0.25">
      <c r="A29" s="3" t="s">
        <v>22</v>
      </c>
      <c r="B29" s="4" t="s">
        <v>88</v>
      </c>
      <c r="C29" s="77">
        <v>135993</v>
      </c>
      <c r="D29" s="77">
        <f>C29</f>
        <v>135993</v>
      </c>
      <c r="E29" s="77">
        <f t="shared" si="0"/>
        <v>0</v>
      </c>
      <c r="F29" s="134">
        <f t="shared" si="1"/>
        <v>100</v>
      </c>
    </row>
    <row r="30" spans="1:8" x14ac:dyDescent="0.25">
      <c r="A30" s="3">
        <v>3</v>
      </c>
      <c r="B30" s="4" t="s">
        <v>303</v>
      </c>
      <c r="C30" s="77">
        <v>61043</v>
      </c>
      <c r="D30" s="77">
        <v>65000</v>
      </c>
      <c r="E30" s="77"/>
      <c r="F30" s="77"/>
    </row>
    <row r="31" spans="1:8" ht="30" x14ac:dyDescent="0.25">
      <c r="A31" s="3">
        <v>4</v>
      </c>
      <c r="B31" s="4" t="s">
        <v>243</v>
      </c>
      <c r="C31" s="77">
        <v>43867</v>
      </c>
      <c r="D31" s="77">
        <v>45000</v>
      </c>
      <c r="E31" s="77"/>
      <c r="F31" s="77"/>
    </row>
    <row r="32" spans="1:8" x14ac:dyDescent="0.25">
      <c r="A32" s="2" t="s">
        <v>70</v>
      </c>
      <c r="B32" s="14" t="s">
        <v>311</v>
      </c>
      <c r="C32" s="77">
        <f>C33+C34</f>
        <v>635296</v>
      </c>
      <c r="D32" s="77">
        <f>D33+D34</f>
        <v>777850</v>
      </c>
      <c r="E32" s="77"/>
      <c r="F32" s="77"/>
    </row>
    <row r="33" spans="1:6" ht="30" x14ac:dyDescent="0.25">
      <c r="A33" s="3">
        <v>1</v>
      </c>
      <c r="B33" s="4" t="s">
        <v>463</v>
      </c>
      <c r="C33" s="77">
        <v>556383</v>
      </c>
      <c r="D33" s="77">
        <v>660010</v>
      </c>
      <c r="E33" s="77">
        <f>D33-C33</f>
        <v>103627</v>
      </c>
      <c r="F33" s="134">
        <f>D33/C33*100</f>
        <v>118.62511974664933</v>
      </c>
    </row>
    <row r="34" spans="1:6" x14ac:dyDescent="0.25">
      <c r="A34" s="3">
        <v>2</v>
      </c>
      <c r="B34" s="4" t="s">
        <v>464</v>
      </c>
      <c r="C34" s="77">
        <f>C35+C36</f>
        <v>78913</v>
      </c>
      <c r="D34" s="77">
        <f>D35+D36</f>
        <v>117840</v>
      </c>
      <c r="E34" s="77">
        <f t="shared" ref="E34:E36" si="2">D34-C34</f>
        <v>38927</v>
      </c>
      <c r="F34" s="134">
        <f t="shared" ref="F34:F36" si="3">D34/C34*100</f>
        <v>149.3290078947702</v>
      </c>
    </row>
    <row r="35" spans="1:6" x14ac:dyDescent="0.25">
      <c r="A35" s="3" t="s">
        <v>22</v>
      </c>
      <c r="B35" s="4" t="s">
        <v>307</v>
      </c>
      <c r="C35" s="77">
        <v>62873</v>
      </c>
      <c r="D35" s="77">
        <v>62873</v>
      </c>
      <c r="E35" s="77">
        <f t="shared" si="2"/>
        <v>0</v>
      </c>
      <c r="F35" s="134">
        <f t="shared" si="3"/>
        <v>100</v>
      </c>
    </row>
    <row r="36" spans="1:6" x14ac:dyDescent="0.25">
      <c r="A36" s="3" t="s">
        <v>22</v>
      </c>
      <c r="B36" s="4" t="s">
        <v>308</v>
      </c>
      <c r="C36" s="77">
        <v>16040</v>
      </c>
      <c r="D36" s="77">
        <v>54967</v>
      </c>
      <c r="E36" s="77">
        <f t="shared" si="2"/>
        <v>38927</v>
      </c>
      <c r="F36" s="134">
        <f t="shared" si="3"/>
        <v>342.68703241895258</v>
      </c>
    </row>
    <row r="37" spans="1:6" x14ac:dyDescent="0.25">
      <c r="A37" s="3">
        <v>3</v>
      </c>
      <c r="B37" s="4" t="s">
        <v>251</v>
      </c>
      <c r="C37" s="77"/>
      <c r="D37" s="77"/>
      <c r="E37" s="77"/>
      <c r="F37" s="77"/>
    </row>
    <row r="38" spans="1:6" ht="24.75" customHeight="1" x14ac:dyDescent="0.25">
      <c r="A38" s="15" t="s">
        <v>288</v>
      </c>
      <c r="B38" s="1"/>
      <c r="C38" s="1"/>
      <c r="D38" s="1"/>
      <c r="E38" s="1"/>
      <c r="F38" s="1"/>
    </row>
    <row r="39" spans="1:6" ht="42" customHeight="1" x14ac:dyDescent="0.25">
      <c r="A39" s="425" t="s">
        <v>466</v>
      </c>
      <c r="B39" s="425"/>
      <c r="C39" s="425"/>
      <c r="D39" s="425"/>
      <c r="E39" s="425"/>
      <c r="F39" s="425"/>
    </row>
    <row r="40" spans="1:6" x14ac:dyDescent="0.25">
      <c r="A40" s="425" t="s">
        <v>465</v>
      </c>
      <c r="B40" s="425"/>
      <c r="C40" s="425"/>
      <c r="D40" s="425"/>
      <c r="E40" s="425"/>
      <c r="F40" s="425"/>
    </row>
  </sheetData>
  <mergeCells count="11">
    <mergeCell ref="A1:F1"/>
    <mergeCell ref="A2:F2"/>
    <mergeCell ref="A3:F3"/>
    <mergeCell ref="E4:F4"/>
    <mergeCell ref="A39:F39"/>
    <mergeCell ref="A40:F40"/>
    <mergeCell ref="A5:A6"/>
    <mergeCell ref="B5:B6"/>
    <mergeCell ref="C5:C6"/>
    <mergeCell ref="D5:D6"/>
    <mergeCell ref="E5:F5"/>
  </mergeCells>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00B0F0"/>
  </sheetPr>
  <dimension ref="A1:H59"/>
  <sheetViews>
    <sheetView workbookViewId="0">
      <selection activeCell="M17" sqref="M17"/>
    </sheetView>
  </sheetViews>
  <sheetFormatPr defaultRowHeight="15" x14ac:dyDescent="0.25"/>
  <cols>
    <col min="1" max="1" width="6.42578125" customWidth="1"/>
    <col min="2" max="2" width="47.42578125" customWidth="1"/>
    <col min="3" max="8" width="10.85546875" customWidth="1"/>
  </cols>
  <sheetData>
    <row r="1" spans="1:8" ht="15.75" x14ac:dyDescent="0.25">
      <c r="H1" s="25" t="s">
        <v>636</v>
      </c>
    </row>
    <row r="2" spans="1:8" ht="15.75" x14ac:dyDescent="0.25">
      <c r="A2" s="448" t="s">
        <v>710</v>
      </c>
      <c r="B2" s="448"/>
      <c r="C2" s="448"/>
      <c r="D2" s="448"/>
      <c r="E2" s="448"/>
      <c r="F2" s="448"/>
      <c r="G2" s="448"/>
      <c r="H2" s="448"/>
    </row>
    <row r="3" spans="1:8" ht="15.75" x14ac:dyDescent="0.25">
      <c r="A3" s="414" t="s">
        <v>126</v>
      </c>
      <c r="B3" s="414"/>
      <c r="C3" s="414"/>
      <c r="D3" s="414"/>
      <c r="E3" s="414"/>
      <c r="F3" s="414"/>
      <c r="G3" s="414"/>
      <c r="H3" s="414"/>
    </row>
    <row r="4" spans="1:8" ht="15.75" x14ac:dyDescent="0.25">
      <c r="H4" s="26" t="s">
        <v>56</v>
      </c>
    </row>
    <row r="5" spans="1:8" ht="15.75" x14ac:dyDescent="0.25">
      <c r="A5" s="449" t="s">
        <v>3</v>
      </c>
      <c r="B5" s="449" t="s">
        <v>4</v>
      </c>
      <c r="C5" s="449" t="s">
        <v>609</v>
      </c>
      <c r="D5" s="449"/>
      <c r="E5" s="449" t="s">
        <v>696</v>
      </c>
      <c r="F5" s="449"/>
      <c r="G5" s="449" t="s">
        <v>366</v>
      </c>
      <c r="H5" s="449"/>
    </row>
    <row r="6" spans="1:8" ht="31.5" x14ac:dyDescent="0.25">
      <c r="A6" s="449"/>
      <c r="B6" s="449"/>
      <c r="C6" s="29" t="s">
        <v>367</v>
      </c>
      <c r="D6" s="29" t="s">
        <v>368</v>
      </c>
      <c r="E6" s="29" t="s">
        <v>367</v>
      </c>
      <c r="F6" s="29" t="s">
        <v>368</v>
      </c>
      <c r="G6" s="29" t="s">
        <v>367</v>
      </c>
      <c r="H6" s="29" t="s">
        <v>368</v>
      </c>
    </row>
    <row r="7" spans="1:8" ht="15.75" x14ac:dyDescent="0.25">
      <c r="A7" s="29" t="s">
        <v>15</v>
      </c>
      <c r="B7" s="29" t="s">
        <v>16</v>
      </c>
      <c r="C7" s="29">
        <v>1</v>
      </c>
      <c r="D7" s="29">
        <v>2</v>
      </c>
      <c r="E7" s="29">
        <v>3</v>
      </c>
      <c r="F7" s="29">
        <v>4</v>
      </c>
      <c r="G7" s="29" t="s">
        <v>369</v>
      </c>
      <c r="H7" s="29" t="s">
        <v>370</v>
      </c>
    </row>
    <row r="8" spans="1:8" ht="15.75" x14ac:dyDescent="0.25">
      <c r="A8" s="29"/>
      <c r="B8" s="30" t="s">
        <v>711</v>
      </c>
      <c r="C8" s="29"/>
      <c r="D8" s="29"/>
      <c r="E8" s="29"/>
      <c r="F8" s="29"/>
      <c r="G8" s="29"/>
      <c r="H8" s="29"/>
    </row>
    <row r="9" spans="1:8" ht="15.75" x14ac:dyDescent="0.25">
      <c r="A9" s="29" t="s">
        <v>15</v>
      </c>
      <c r="B9" s="30" t="s">
        <v>712</v>
      </c>
      <c r="C9" s="28"/>
      <c r="D9" s="28"/>
      <c r="E9" s="28"/>
      <c r="F9" s="28"/>
      <c r="G9" s="28"/>
      <c r="H9" s="28"/>
    </row>
    <row r="10" spans="1:8" ht="15.75" x14ac:dyDescent="0.25">
      <c r="A10" s="29" t="s">
        <v>83</v>
      </c>
      <c r="B10" s="30" t="s">
        <v>65</v>
      </c>
      <c r="C10" s="28"/>
      <c r="D10" s="28"/>
      <c r="E10" s="28"/>
      <c r="F10" s="28"/>
      <c r="G10" s="28"/>
      <c r="H10" s="28"/>
    </row>
    <row r="11" spans="1:8" ht="15.75" x14ac:dyDescent="0.25">
      <c r="A11" s="444">
        <v>1</v>
      </c>
      <c r="B11" s="31" t="s">
        <v>371</v>
      </c>
      <c r="C11" s="444"/>
      <c r="D11" s="444"/>
      <c r="E11" s="444"/>
      <c r="F11" s="444"/>
      <c r="G11" s="444"/>
      <c r="H11" s="444"/>
    </row>
    <row r="12" spans="1:8" ht="15.75" x14ac:dyDescent="0.25">
      <c r="A12" s="444"/>
      <c r="B12" s="31" t="s">
        <v>372</v>
      </c>
      <c r="C12" s="444"/>
      <c r="D12" s="444"/>
      <c r="E12" s="444"/>
      <c r="F12" s="444"/>
      <c r="G12" s="444"/>
      <c r="H12" s="444"/>
    </row>
    <row r="13" spans="1:8" ht="15.75" x14ac:dyDescent="0.25">
      <c r="A13" s="444">
        <v>2</v>
      </c>
      <c r="B13" s="31" t="s">
        <v>713</v>
      </c>
      <c r="C13" s="444"/>
      <c r="D13" s="444"/>
      <c r="E13" s="444"/>
      <c r="F13" s="444"/>
      <c r="G13" s="444"/>
      <c r="H13" s="444"/>
    </row>
    <row r="14" spans="1:8" ht="15.75" x14ac:dyDescent="0.25">
      <c r="A14" s="444"/>
      <c r="B14" s="31" t="s">
        <v>372</v>
      </c>
      <c r="C14" s="444"/>
      <c r="D14" s="444"/>
      <c r="E14" s="444"/>
      <c r="F14" s="444"/>
      <c r="G14" s="444"/>
      <c r="H14" s="444"/>
    </row>
    <row r="15" spans="1:8" ht="31.5" x14ac:dyDescent="0.25">
      <c r="A15" s="444">
        <v>3</v>
      </c>
      <c r="B15" s="31" t="s">
        <v>277</v>
      </c>
      <c r="C15" s="444"/>
      <c r="D15" s="444"/>
      <c r="E15" s="444"/>
      <c r="F15" s="444"/>
      <c r="G15" s="444"/>
      <c r="H15" s="444"/>
    </row>
    <row r="16" spans="1:8" ht="15.75" x14ac:dyDescent="0.25">
      <c r="A16" s="444"/>
      <c r="B16" s="31" t="s">
        <v>372</v>
      </c>
      <c r="C16" s="444"/>
      <c r="D16" s="444"/>
      <c r="E16" s="444"/>
      <c r="F16" s="444"/>
      <c r="G16" s="444"/>
      <c r="H16" s="444"/>
    </row>
    <row r="17" spans="1:8" ht="15.75" x14ac:dyDescent="0.25">
      <c r="A17" s="444">
        <v>4</v>
      </c>
      <c r="B17" s="31" t="s">
        <v>278</v>
      </c>
      <c r="C17" s="444"/>
      <c r="D17" s="444"/>
      <c r="E17" s="444"/>
      <c r="F17" s="444"/>
      <c r="G17" s="444"/>
      <c r="H17" s="444"/>
    </row>
    <row r="18" spans="1:8" ht="15.75" x14ac:dyDescent="0.25">
      <c r="A18" s="444"/>
      <c r="B18" s="31" t="s">
        <v>372</v>
      </c>
      <c r="C18" s="444"/>
      <c r="D18" s="444"/>
      <c r="E18" s="444"/>
      <c r="F18" s="444"/>
      <c r="G18" s="444"/>
      <c r="H18" s="444"/>
    </row>
    <row r="19" spans="1:8" ht="15.75" x14ac:dyDescent="0.25">
      <c r="A19" s="28">
        <v>5</v>
      </c>
      <c r="B19" s="31" t="s">
        <v>279</v>
      </c>
      <c r="C19" s="28"/>
      <c r="D19" s="28"/>
      <c r="E19" s="28"/>
      <c r="F19" s="28"/>
      <c r="G19" s="28"/>
      <c r="H19" s="28"/>
    </row>
    <row r="20" spans="1:8" ht="15.75" x14ac:dyDescent="0.25">
      <c r="A20" s="28">
        <v>6</v>
      </c>
      <c r="B20" s="31" t="s">
        <v>280</v>
      </c>
      <c r="C20" s="28"/>
      <c r="D20" s="28"/>
      <c r="E20" s="28"/>
      <c r="F20" s="28"/>
      <c r="G20" s="28"/>
      <c r="H20" s="28"/>
    </row>
    <row r="21" spans="1:8" ht="31.5" x14ac:dyDescent="0.25">
      <c r="A21" s="28" t="s">
        <v>22</v>
      </c>
      <c r="B21" s="32" t="s">
        <v>714</v>
      </c>
      <c r="C21" s="28"/>
      <c r="D21" s="28"/>
      <c r="E21" s="28"/>
      <c r="F21" s="28"/>
      <c r="G21" s="28"/>
      <c r="H21" s="28"/>
    </row>
    <row r="22" spans="1:8" ht="15.75" x14ac:dyDescent="0.25">
      <c r="A22" s="28" t="s">
        <v>22</v>
      </c>
      <c r="B22" s="32" t="s">
        <v>383</v>
      </c>
      <c r="C22" s="28"/>
      <c r="D22" s="28"/>
      <c r="E22" s="28"/>
      <c r="F22" s="28"/>
      <c r="G22" s="28"/>
      <c r="H22" s="28"/>
    </row>
    <row r="23" spans="1:8" ht="15.75" x14ac:dyDescent="0.25">
      <c r="A23" s="28">
        <v>7</v>
      </c>
      <c r="B23" s="31" t="s">
        <v>411</v>
      </c>
      <c r="C23" s="28"/>
      <c r="D23" s="28"/>
      <c r="E23" s="28"/>
      <c r="F23" s="28"/>
      <c r="G23" s="28"/>
      <c r="H23" s="28"/>
    </row>
    <row r="24" spans="1:8" ht="15.75" x14ac:dyDescent="0.25">
      <c r="A24" s="28">
        <v>8</v>
      </c>
      <c r="B24" s="31" t="s">
        <v>715</v>
      </c>
      <c r="C24" s="28"/>
      <c r="D24" s="28"/>
      <c r="E24" s="28"/>
      <c r="F24" s="28"/>
      <c r="G24" s="28"/>
      <c r="H24" s="28"/>
    </row>
    <row r="25" spans="1:8" ht="15.75" x14ac:dyDescent="0.25">
      <c r="A25" s="28" t="s">
        <v>22</v>
      </c>
      <c r="B25" s="32" t="s">
        <v>412</v>
      </c>
      <c r="C25" s="28"/>
      <c r="D25" s="28"/>
      <c r="E25" s="28"/>
      <c r="F25" s="28"/>
      <c r="G25" s="28"/>
      <c r="H25" s="28"/>
    </row>
    <row r="26" spans="1:8" ht="15.75" x14ac:dyDescent="0.25">
      <c r="A26" s="28" t="s">
        <v>22</v>
      </c>
      <c r="B26" s="32" t="s">
        <v>413</v>
      </c>
      <c r="C26" s="28"/>
      <c r="D26" s="28"/>
      <c r="E26" s="28"/>
      <c r="F26" s="28"/>
      <c r="G26" s="28"/>
      <c r="H26" s="28"/>
    </row>
    <row r="27" spans="1:8" ht="15.75" x14ac:dyDescent="0.25">
      <c r="A27" s="28" t="s">
        <v>22</v>
      </c>
      <c r="B27" s="32" t="s">
        <v>414</v>
      </c>
      <c r="C27" s="28"/>
      <c r="D27" s="28"/>
      <c r="E27" s="28"/>
      <c r="F27" s="28"/>
      <c r="G27" s="28"/>
      <c r="H27" s="28"/>
    </row>
    <row r="28" spans="1:8" ht="15.75" x14ac:dyDescent="0.25">
      <c r="A28" s="28" t="s">
        <v>22</v>
      </c>
      <c r="B28" s="32" t="s">
        <v>716</v>
      </c>
      <c r="C28" s="28"/>
      <c r="D28" s="28"/>
      <c r="E28" s="28"/>
      <c r="F28" s="28"/>
      <c r="G28" s="28"/>
      <c r="H28" s="28"/>
    </row>
    <row r="29" spans="1:8" ht="15.75" x14ac:dyDescent="0.25">
      <c r="A29" s="28">
        <v>9</v>
      </c>
      <c r="B29" s="31" t="s">
        <v>373</v>
      </c>
      <c r="C29" s="28"/>
      <c r="D29" s="28"/>
      <c r="E29" s="28"/>
      <c r="F29" s="28"/>
      <c r="G29" s="28"/>
      <c r="H29" s="28"/>
    </row>
    <row r="30" spans="1:8" ht="15.75" x14ac:dyDescent="0.25">
      <c r="A30" s="28">
        <v>10</v>
      </c>
      <c r="B30" s="31" t="s">
        <v>374</v>
      </c>
      <c r="C30" s="28"/>
      <c r="D30" s="28"/>
      <c r="E30" s="28"/>
      <c r="F30" s="28"/>
      <c r="G30" s="28"/>
      <c r="H30" s="28"/>
    </row>
    <row r="31" spans="1:8" ht="15.75" x14ac:dyDescent="0.25">
      <c r="A31" s="28">
        <v>11</v>
      </c>
      <c r="B31" s="31" t="s">
        <v>375</v>
      </c>
      <c r="C31" s="28"/>
      <c r="D31" s="28"/>
      <c r="E31" s="28"/>
      <c r="F31" s="28"/>
      <c r="G31" s="28"/>
      <c r="H31" s="28"/>
    </row>
    <row r="32" spans="1:8" ht="15.75" x14ac:dyDescent="0.25">
      <c r="A32" s="28">
        <v>12</v>
      </c>
      <c r="B32" s="31" t="s">
        <v>282</v>
      </c>
      <c r="C32" s="28"/>
      <c r="D32" s="28"/>
      <c r="E32" s="28"/>
      <c r="F32" s="28"/>
      <c r="G32" s="28"/>
      <c r="H32" s="28"/>
    </row>
    <row r="33" spans="1:8" ht="31.5" x14ac:dyDescent="0.25">
      <c r="A33" s="28">
        <v>13</v>
      </c>
      <c r="B33" s="31" t="s">
        <v>717</v>
      </c>
      <c r="C33" s="28"/>
      <c r="D33" s="28"/>
      <c r="E33" s="28"/>
      <c r="F33" s="28"/>
      <c r="G33" s="28"/>
      <c r="H33" s="28"/>
    </row>
    <row r="34" spans="1:8" ht="15.75" x14ac:dyDescent="0.25">
      <c r="A34" s="444">
        <v>14</v>
      </c>
      <c r="B34" s="31" t="s">
        <v>376</v>
      </c>
      <c r="C34" s="444"/>
      <c r="D34" s="444"/>
      <c r="E34" s="444"/>
      <c r="F34" s="444"/>
      <c r="G34" s="444"/>
      <c r="H34" s="444"/>
    </row>
    <row r="35" spans="1:8" ht="15.75" x14ac:dyDescent="0.25">
      <c r="A35" s="444"/>
      <c r="B35" s="31" t="s">
        <v>372</v>
      </c>
      <c r="C35" s="444"/>
      <c r="D35" s="444"/>
      <c r="E35" s="444"/>
      <c r="F35" s="444"/>
      <c r="G35" s="444"/>
      <c r="H35" s="444"/>
    </row>
    <row r="36" spans="1:8" ht="15.75" x14ac:dyDescent="0.25">
      <c r="A36" s="28">
        <v>15</v>
      </c>
      <c r="B36" s="31" t="s">
        <v>377</v>
      </c>
      <c r="C36" s="28"/>
      <c r="D36" s="28"/>
      <c r="E36" s="28"/>
      <c r="F36" s="28"/>
      <c r="G36" s="28"/>
      <c r="H36" s="28"/>
    </row>
    <row r="37" spans="1:8" ht="15.75" x14ac:dyDescent="0.25">
      <c r="A37" s="28">
        <v>16</v>
      </c>
      <c r="B37" s="31" t="s">
        <v>378</v>
      </c>
      <c r="C37" s="28"/>
      <c r="D37" s="28"/>
      <c r="E37" s="28"/>
      <c r="F37" s="28"/>
      <c r="G37" s="28"/>
      <c r="H37" s="28"/>
    </row>
    <row r="38" spans="1:8" ht="15.75" x14ac:dyDescent="0.25">
      <c r="A38" s="28">
        <v>17</v>
      </c>
      <c r="B38" s="31" t="s">
        <v>379</v>
      </c>
      <c r="C38" s="28"/>
      <c r="D38" s="28"/>
      <c r="E38" s="28"/>
      <c r="F38" s="28"/>
      <c r="G38" s="28"/>
      <c r="H38" s="28"/>
    </row>
    <row r="39" spans="1:8" ht="15.75" x14ac:dyDescent="0.25">
      <c r="A39" s="28">
        <v>18</v>
      </c>
      <c r="B39" s="31" t="s">
        <v>380</v>
      </c>
      <c r="C39" s="28"/>
      <c r="D39" s="28"/>
      <c r="E39" s="28"/>
      <c r="F39" s="28"/>
      <c r="G39" s="28"/>
      <c r="H39" s="28"/>
    </row>
    <row r="40" spans="1:8" ht="47.25" x14ac:dyDescent="0.25">
      <c r="A40" s="28">
        <v>19</v>
      </c>
      <c r="B40" s="31" t="s">
        <v>718</v>
      </c>
      <c r="C40" s="28"/>
      <c r="D40" s="28"/>
      <c r="E40" s="28"/>
      <c r="F40" s="28"/>
      <c r="G40" s="28"/>
      <c r="H40" s="28"/>
    </row>
    <row r="41" spans="1:8" ht="15.75" x14ac:dyDescent="0.25">
      <c r="A41" s="28">
        <v>20</v>
      </c>
      <c r="B41" s="31" t="s">
        <v>381</v>
      </c>
      <c r="C41" s="28"/>
      <c r="D41" s="28"/>
      <c r="E41" s="28"/>
      <c r="F41" s="28"/>
      <c r="G41" s="28"/>
      <c r="H41" s="28"/>
    </row>
    <row r="42" spans="1:8" ht="15.75" x14ac:dyDescent="0.25">
      <c r="A42" s="29" t="s">
        <v>70</v>
      </c>
      <c r="B42" s="30" t="s">
        <v>285</v>
      </c>
      <c r="C42" s="28"/>
      <c r="D42" s="28"/>
      <c r="E42" s="28"/>
      <c r="F42" s="28"/>
      <c r="G42" s="28"/>
      <c r="H42" s="28"/>
    </row>
    <row r="43" spans="1:8" ht="15.75" x14ac:dyDescent="0.25">
      <c r="A43" s="29" t="s">
        <v>73</v>
      </c>
      <c r="B43" s="30" t="s">
        <v>719</v>
      </c>
      <c r="C43" s="28"/>
      <c r="D43" s="28"/>
      <c r="E43" s="28"/>
      <c r="F43" s="28"/>
      <c r="G43" s="28"/>
      <c r="H43" s="28"/>
    </row>
    <row r="44" spans="1:8" ht="15.75" x14ac:dyDescent="0.25">
      <c r="A44" s="28">
        <v>1</v>
      </c>
      <c r="B44" s="31" t="s">
        <v>415</v>
      </c>
      <c r="C44" s="28"/>
      <c r="D44" s="28"/>
      <c r="E44" s="28"/>
      <c r="F44" s="28"/>
      <c r="G44" s="28"/>
      <c r="H44" s="28"/>
    </row>
    <row r="45" spans="1:8" ht="15.75" x14ac:dyDescent="0.25">
      <c r="A45" s="28">
        <v>2</v>
      </c>
      <c r="B45" s="31" t="s">
        <v>382</v>
      </c>
      <c r="C45" s="28"/>
      <c r="D45" s="28"/>
      <c r="E45" s="28"/>
      <c r="F45" s="28"/>
      <c r="G45" s="28"/>
      <c r="H45" s="28"/>
    </row>
    <row r="46" spans="1:8" ht="15.75" x14ac:dyDescent="0.25">
      <c r="A46" s="28">
        <v>3</v>
      </c>
      <c r="B46" s="31" t="s">
        <v>720</v>
      </c>
      <c r="C46" s="28"/>
      <c r="D46" s="28"/>
      <c r="E46" s="28"/>
      <c r="F46" s="28"/>
      <c r="G46" s="28"/>
      <c r="H46" s="28"/>
    </row>
    <row r="47" spans="1:8" ht="15.75" x14ac:dyDescent="0.25">
      <c r="A47" s="28">
        <v>4</v>
      </c>
      <c r="B47" s="31" t="s">
        <v>721</v>
      </c>
      <c r="C47" s="28"/>
      <c r="D47" s="28"/>
      <c r="E47" s="28"/>
      <c r="F47" s="28"/>
      <c r="G47" s="28"/>
      <c r="H47" s="28"/>
    </row>
    <row r="48" spans="1:8" ht="15.75" x14ac:dyDescent="0.25">
      <c r="A48" s="28">
        <v>5</v>
      </c>
      <c r="B48" s="31" t="s">
        <v>722</v>
      </c>
      <c r="C48" s="28"/>
      <c r="D48" s="28"/>
      <c r="E48" s="28"/>
      <c r="F48" s="28"/>
      <c r="G48" s="28"/>
      <c r="H48" s="28"/>
    </row>
    <row r="49" spans="1:8" ht="15.75" x14ac:dyDescent="0.25">
      <c r="A49" s="28">
        <v>6</v>
      </c>
      <c r="B49" s="31" t="s">
        <v>384</v>
      </c>
      <c r="C49" s="28"/>
      <c r="D49" s="28"/>
      <c r="E49" s="28"/>
      <c r="F49" s="28"/>
      <c r="G49" s="28"/>
      <c r="H49" s="28"/>
    </row>
    <row r="50" spans="1:8" ht="15.75" x14ac:dyDescent="0.25">
      <c r="A50" s="29" t="s">
        <v>77</v>
      </c>
      <c r="B50" s="30" t="s">
        <v>385</v>
      </c>
      <c r="C50" s="28"/>
      <c r="D50" s="28"/>
      <c r="E50" s="28"/>
      <c r="F50" s="28"/>
      <c r="G50" s="28"/>
      <c r="H50" s="28"/>
    </row>
    <row r="51" spans="1:8" ht="15.75" x14ac:dyDescent="0.25">
      <c r="A51" s="29" t="s">
        <v>16</v>
      </c>
      <c r="B51" s="30" t="s">
        <v>723</v>
      </c>
      <c r="C51" s="28"/>
      <c r="D51" s="28"/>
      <c r="E51" s="28"/>
      <c r="F51" s="28"/>
      <c r="G51" s="28"/>
      <c r="H51" s="28"/>
    </row>
    <row r="52" spans="1:8" ht="15.75" x14ac:dyDescent="0.25">
      <c r="A52" s="29" t="s">
        <v>79</v>
      </c>
      <c r="B52" s="30" t="s">
        <v>724</v>
      </c>
      <c r="C52" s="28"/>
      <c r="D52" s="28"/>
      <c r="E52" s="28"/>
      <c r="F52" s="28"/>
      <c r="G52" s="28"/>
      <c r="H52" s="28"/>
    </row>
    <row r="53" spans="1:8" ht="31.5" x14ac:dyDescent="0.25">
      <c r="A53" s="29" t="s">
        <v>89</v>
      </c>
      <c r="B53" s="30" t="s">
        <v>725</v>
      </c>
      <c r="C53" s="28"/>
      <c r="D53" s="28"/>
      <c r="E53" s="28"/>
      <c r="F53" s="28"/>
      <c r="G53" s="28"/>
      <c r="H53" s="28"/>
    </row>
    <row r="54" spans="1:8" ht="21" customHeight="1" x14ac:dyDescent="0.25">
      <c r="A54" s="27" t="s">
        <v>288</v>
      </c>
    </row>
    <row r="55" spans="1:8" ht="36.75" customHeight="1" x14ac:dyDescent="0.25">
      <c r="A55" s="447" t="s">
        <v>416</v>
      </c>
      <c r="B55" s="447"/>
      <c r="C55" s="447"/>
      <c r="D55" s="447"/>
      <c r="E55" s="447"/>
      <c r="F55" s="447"/>
      <c r="G55" s="447"/>
      <c r="H55" s="447"/>
    </row>
    <row r="56" spans="1:8" ht="36.75" customHeight="1" x14ac:dyDescent="0.25">
      <c r="A56" s="447" t="s">
        <v>417</v>
      </c>
      <c r="B56" s="447"/>
      <c r="C56" s="447"/>
      <c r="D56" s="447"/>
      <c r="E56" s="447"/>
      <c r="F56" s="447"/>
      <c r="G56" s="447"/>
      <c r="H56" s="447"/>
    </row>
    <row r="57" spans="1:8" ht="49.5" customHeight="1" x14ac:dyDescent="0.25">
      <c r="A57" s="447" t="s">
        <v>418</v>
      </c>
      <c r="B57" s="447"/>
      <c r="C57" s="447"/>
      <c r="D57" s="447"/>
      <c r="E57" s="447"/>
      <c r="F57" s="447"/>
      <c r="G57" s="447"/>
      <c r="H57" s="447"/>
    </row>
    <row r="58" spans="1:8" ht="49.5" customHeight="1" x14ac:dyDescent="0.25">
      <c r="A58" s="447" t="s">
        <v>386</v>
      </c>
      <c r="B58" s="447"/>
      <c r="C58" s="447"/>
      <c r="D58" s="447"/>
      <c r="E58" s="447"/>
      <c r="F58" s="447"/>
      <c r="G58" s="447"/>
      <c r="H58" s="447"/>
    </row>
    <row r="59" spans="1:8" ht="69.75" customHeight="1" x14ac:dyDescent="0.25">
      <c r="A59" s="447" t="s">
        <v>387</v>
      </c>
      <c r="B59" s="447"/>
      <c r="C59" s="447"/>
      <c r="D59" s="447"/>
      <c r="E59" s="447"/>
      <c r="F59" s="447"/>
      <c r="G59" s="447"/>
      <c r="H59" s="447"/>
    </row>
  </sheetData>
  <mergeCells count="47">
    <mergeCell ref="A5:A6"/>
    <mergeCell ref="B5:B6"/>
    <mergeCell ref="C5:D5"/>
    <mergeCell ref="E5:F5"/>
    <mergeCell ref="G5:H5"/>
    <mergeCell ref="G11:G12"/>
    <mergeCell ref="H11:H12"/>
    <mergeCell ref="A13:A14"/>
    <mergeCell ref="C13:C14"/>
    <mergeCell ref="D13:D14"/>
    <mergeCell ref="E13:E14"/>
    <mergeCell ref="F13:F14"/>
    <mergeCell ref="G13:G14"/>
    <mergeCell ref="H13:H14"/>
    <mergeCell ref="A11:A12"/>
    <mergeCell ref="C11:C12"/>
    <mergeCell ref="D11:D12"/>
    <mergeCell ref="E11:E12"/>
    <mergeCell ref="F11:F12"/>
    <mergeCell ref="H17:H18"/>
    <mergeCell ref="A15:A16"/>
    <mergeCell ref="C15:C16"/>
    <mergeCell ref="D15:D16"/>
    <mergeCell ref="E15:E16"/>
    <mergeCell ref="F15:F16"/>
    <mergeCell ref="G15:G16"/>
    <mergeCell ref="C17:C18"/>
    <mergeCell ref="D17:D18"/>
    <mergeCell ref="E17:E18"/>
    <mergeCell ref="F17:F18"/>
    <mergeCell ref="G17:G18"/>
    <mergeCell ref="A58:H58"/>
    <mergeCell ref="A59:H59"/>
    <mergeCell ref="H34:H35"/>
    <mergeCell ref="A2:H2"/>
    <mergeCell ref="A3:H3"/>
    <mergeCell ref="A55:H55"/>
    <mergeCell ref="A56:H56"/>
    <mergeCell ref="A57:H57"/>
    <mergeCell ref="A34:A35"/>
    <mergeCell ref="C34:C35"/>
    <mergeCell ref="D34:D35"/>
    <mergeCell ref="E34:E35"/>
    <mergeCell ref="F34:F35"/>
    <mergeCell ref="G34:G35"/>
    <mergeCell ref="H15:H16"/>
    <mergeCell ref="A17:A18"/>
  </mergeCells>
  <pageMargins left="0.7" right="0.7" top="0.75" bottom="0.75" header="0.3" footer="0.3"/>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00B0F0"/>
  </sheetPr>
  <dimension ref="A1:E33"/>
  <sheetViews>
    <sheetView workbookViewId="0">
      <selection activeCell="M17" sqref="M17"/>
    </sheetView>
  </sheetViews>
  <sheetFormatPr defaultRowHeight="15" x14ac:dyDescent="0.25"/>
  <cols>
    <col min="1" max="1" width="6.42578125" customWidth="1"/>
    <col min="2" max="2" width="50.85546875" customWidth="1"/>
    <col min="3" max="5" width="10.7109375" customWidth="1"/>
  </cols>
  <sheetData>
    <row r="1" spans="1:5" ht="15.75" x14ac:dyDescent="0.25">
      <c r="E1" s="25" t="s">
        <v>637</v>
      </c>
    </row>
    <row r="2" spans="1:5" ht="15.75" x14ac:dyDescent="0.25">
      <c r="A2" s="448" t="s">
        <v>726</v>
      </c>
      <c r="B2" s="448"/>
      <c r="C2" s="448"/>
      <c r="D2" s="448"/>
      <c r="E2" s="448"/>
    </row>
    <row r="3" spans="1:5" ht="15.75" x14ac:dyDescent="0.25">
      <c r="A3" s="448" t="s">
        <v>126</v>
      </c>
      <c r="B3" s="448"/>
      <c r="C3" s="448"/>
      <c r="D3" s="448"/>
      <c r="E3" s="448"/>
    </row>
    <row r="4" spans="1:5" ht="15.75" x14ac:dyDescent="0.25">
      <c r="E4" s="26" t="s">
        <v>56</v>
      </c>
    </row>
    <row r="5" spans="1:5" ht="41.25" customHeight="1" x14ac:dyDescent="0.25">
      <c r="A5" s="29" t="s">
        <v>3</v>
      </c>
      <c r="B5" s="29" t="s">
        <v>355</v>
      </c>
      <c r="C5" s="29" t="s">
        <v>609</v>
      </c>
      <c r="D5" s="29" t="s">
        <v>696</v>
      </c>
      <c r="E5" s="29" t="s">
        <v>366</v>
      </c>
    </row>
    <row r="6" spans="1:5" ht="15.75" x14ac:dyDescent="0.25">
      <c r="A6" s="29" t="s">
        <v>15</v>
      </c>
      <c r="B6" s="29" t="s">
        <v>16</v>
      </c>
      <c r="C6" s="29">
        <v>1</v>
      </c>
      <c r="D6" s="29">
        <v>2</v>
      </c>
      <c r="E6" s="29" t="s">
        <v>269</v>
      </c>
    </row>
    <row r="7" spans="1:5" ht="15.75" x14ac:dyDescent="0.25">
      <c r="A7" s="29"/>
      <c r="B7" s="30" t="s">
        <v>727</v>
      </c>
      <c r="C7" s="31"/>
      <c r="D7" s="31"/>
      <c r="E7" s="31"/>
    </row>
    <row r="8" spans="1:5" ht="15.75" x14ac:dyDescent="0.25">
      <c r="A8" s="29" t="s">
        <v>15</v>
      </c>
      <c r="B8" s="30" t="s">
        <v>728</v>
      </c>
      <c r="C8" s="31"/>
      <c r="D8" s="31"/>
      <c r="E8" s="31"/>
    </row>
    <row r="9" spans="1:5" ht="15.75" x14ac:dyDescent="0.25">
      <c r="A9" s="29" t="s">
        <v>83</v>
      </c>
      <c r="B9" s="30" t="s">
        <v>363</v>
      </c>
      <c r="C9" s="31"/>
      <c r="D9" s="31"/>
      <c r="E9" s="31"/>
    </row>
    <row r="10" spans="1:5" ht="15.75" x14ac:dyDescent="0.25">
      <c r="A10" s="28">
        <v>1</v>
      </c>
      <c r="B10" s="31" t="s">
        <v>729</v>
      </c>
      <c r="C10" s="31"/>
      <c r="D10" s="31"/>
      <c r="E10" s="31"/>
    </row>
    <row r="11" spans="1:5" ht="15.75" x14ac:dyDescent="0.25">
      <c r="A11" s="28"/>
      <c r="B11" s="32" t="s">
        <v>392</v>
      </c>
      <c r="C11" s="31"/>
      <c r="D11" s="31"/>
      <c r="E11" s="31"/>
    </row>
    <row r="12" spans="1:5" ht="15.75" x14ac:dyDescent="0.25">
      <c r="A12" s="28" t="s">
        <v>22</v>
      </c>
      <c r="B12" s="32" t="s">
        <v>393</v>
      </c>
      <c r="C12" s="31"/>
      <c r="D12" s="31"/>
      <c r="E12" s="31"/>
    </row>
    <row r="13" spans="1:5" ht="15.75" x14ac:dyDescent="0.25">
      <c r="A13" s="28" t="s">
        <v>22</v>
      </c>
      <c r="B13" s="32" t="s">
        <v>605</v>
      </c>
      <c r="C13" s="31"/>
      <c r="D13" s="31"/>
      <c r="E13" s="31"/>
    </row>
    <row r="14" spans="1:5" ht="15.75" x14ac:dyDescent="0.25">
      <c r="A14" s="28"/>
      <c r="B14" s="32" t="s">
        <v>395</v>
      </c>
      <c r="C14" s="31"/>
      <c r="D14" s="31"/>
      <c r="E14" s="31"/>
    </row>
    <row r="15" spans="1:5" ht="15.75" x14ac:dyDescent="0.25">
      <c r="A15" s="28" t="s">
        <v>22</v>
      </c>
      <c r="B15" s="32" t="s">
        <v>396</v>
      </c>
      <c r="C15" s="31"/>
      <c r="D15" s="31"/>
      <c r="E15" s="31"/>
    </row>
    <row r="16" spans="1:5" ht="15.75" x14ac:dyDescent="0.25">
      <c r="A16" s="28" t="s">
        <v>22</v>
      </c>
      <c r="B16" s="32" t="s">
        <v>494</v>
      </c>
      <c r="C16" s="31"/>
      <c r="D16" s="31"/>
      <c r="E16" s="31"/>
    </row>
    <row r="17" spans="1:5" ht="63" x14ac:dyDescent="0.25">
      <c r="A17" s="28">
        <v>2</v>
      </c>
      <c r="B17" s="31" t="s">
        <v>398</v>
      </c>
      <c r="C17" s="31"/>
      <c r="D17" s="31"/>
      <c r="E17" s="31"/>
    </row>
    <row r="18" spans="1:5" ht="15.75" x14ac:dyDescent="0.25">
      <c r="A18" s="28">
        <v>3</v>
      </c>
      <c r="B18" s="31" t="s">
        <v>399</v>
      </c>
      <c r="C18" s="31"/>
      <c r="D18" s="31"/>
      <c r="E18" s="31"/>
    </row>
    <row r="19" spans="1:5" ht="15.75" x14ac:dyDescent="0.25">
      <c r="A19" s="29" t="s">
        <v>70</v>
      </c>
      <c r="B19" s="30" t="s">
        <v>96</v>
      </c>
      <c r="C19" s="31"/>
      <c r="D19" s="31"/>
      <c r="E19" s="31"/>
    </row>
    <row r="20" spans="1:5" ht="15.75" x14ac:dyDescent="0.25">
      <c r="A20" s="28"/>
      <c r="B20" s="32" t="s">
        <v>134</v>
      </c>
      <c r="C20" s="31"/>
      <c r="D20" s="31"/>
      <c r="E20" s="31"/>
    </row>
    <row r="21" spans="1:5" ht="15.75" x14ac:dyDescent="0.25">
      <c r="A21" s="28">
        <v>1</v>
      </c>
      <c r="B21" s="32" t="s">
        <v>393</v>
      </c>
      <c r="C21" s="31"/>
      <c r="D21" s="31"/>
      <c r="E21" s="31"/>
    </row>
    <row r="22" spans="1:5" ht="15.75" x14ac:dyDescent="0.25">
      <c r="A22" s="28">
        <v>2</v>
      </c>
      <c r="B22" s="32" t="s">
        <v>394</v>
      </c>
      <c r="C22" s="31"/>
      <c r="D22" s="31"/>
      <c r="E22" s="31"/>
    </row>
    <row r="23" spans="1:5" ht="31.5" x14ac:dyDescent="0.25">
      <c r="A23" s="29" t="s">
        <v>73</v>
      </c>
      <c r="B23" s="30" t="s">
        <v>97</v>
      </c>
      <c r="C23" s="31"/>
      <c r="D23" s="31"/>
      <c r="E23" s="31"/>
    </row>
    <row r="24" spans="1:5" ht="15.75" x14ac:dyDescent="0.25">
      <c r="A24" s="29" t="s">
        <v>77</v>
      </c>
      <c r="B24" s="30" t="s">
        <v>246</v>
      </c>
      <c r="C24" s="31"/>
      <c r="D24" s="31"/>
      <c r="E24" s="31"/>
    </row>
    <row r="25" spans="1:5" ht="15.75" x14ac:dyDescent="0.25">
      <c r="A25" s="29" t="s">
        <v>113</v>
      </c>
      <c r="B25" s="30" t="s">
        <v>247</v>
      </c>
      <c r="C25" s="31"/>
      <c r="D25" s="31"/>
      <c r="E25" s="31"/>
    </row>
    <row r="26" spans="1:5" ht="15.75" x14ac:dyDescent="0.25">
      <c r="A26" s="29" t="s">
        <v>400</v>
      </c>
      <c r="B26" s="30" t="s">
        <v>98</v>
      </c>
      <c r="C26" s="31"/>
      <c r="D26" s="31"/>
      <c r="E26" s="31"/>
    </row>
    <row r="27" spans="1:5" ht="15.75" x14ac:dyDescent="0.25">
      <c r="A27" s="29" t="s">
        <v>16</v>
      </c>
      <c r="B27" s="30" t="s">
        <v>401</v>
      </c>
      <c r="C27" s="31"/>
      <c r="D27" s="31"/>
      <c r="E27" s="31"/>
    </row>
    <row r="28" spans="1:5" ht="15.75" x14ac:dyDescent="0.25">
      <c r="A28" s="29" t="s">
        <v>83</v>
      </c>
      <c r="B28" s="30" t="s">
        <v>249</v>
      </c>
      <c r="C28" s="31"/>
      <c r="D28" s="31"/>
      <c r="E28" s="31"/>
    </row>
    <row r="29" spans="1:5" ht="15.75" x14ac:dyDescent="0.25">
      <c r="A29" s="28"/>
      <c r="B29" s="31" t="s">
        <v>402</v>
      </c>
      <c r="C29" s="31"/>
      <c r="D29" s="31"/>
      <c r="E29" s="31"/>
    </row>
    <row r="30" spans="1:5" ht="15.75" x14ac:dyDescent="0.25">
      <c r="A30" s="29" t="s">
        <v>70</v>
      </c>
      <c r="B30" s="30" t="s">
        <v>606</v>
      </c>
      <c r="C30" s="31"/>
      <c r="D30" s="31"/>
      <c r="E30" s="31"/>
    </row>
    <row r="31" spans="1:5" ht="15.75" x14ac:dyDescent="0.25">
      <c r="A31" s="28"/>
      <c r="B31" s="31" t="s">
        <v>403</v>
      </c>
      <c r="C31" s="31"/>
      <c r="D31" s="31"/>
      <c r="E31" s="31"/>
    </row>
    <row r="32" spans="1:5" ht="15.75" x14ac:dyDescent="0.25">
      <c r="A32" s="29" t="s">
        <v>79</v>
      </c>
      <c r="B32" s="30" t="s">
        <v>422</v>
      </c>
      <c r="C32" s="31"/>
      <c r="D32" s="31"/>
      <c r="E32" s="31"/>
    </row>
    <row r="33" spans="1:5" ht="60" customHeight="1" x14ac:dyDescent="0.25">
      <c r="A33" s="446" t="s">
        <v>495</v>
      </c>
      <c r="B33" s="446"/>
      <c r="C33" s="446"/>
      <c r="D33" s="446"/>
      <c r="E33" s="446"/>
    </row>
  </sheetData>
  <mergeCells count="3">
    <mergeCell ref="A33:E33"/>
    <mergeCell ref="A2:E2"/>
    <mergeCell ref="A3:E3"/>
  </mergeCells>
  <pageMargins left="0.7" right="0.7" top="0.75" bottom="0.75" header="0.3" footer="0.3"/>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rgb="FF00B0F0"/>
  </sheetPr>
  <dimension ref="A1:F49"/>
  <sheetViews>
    <sheetView topLeftCell="A3" workbookViewId="0">
      <selection activeCell="M17" sqref="M17"/>
    </sheetView>
  </sheetViews>
  <sheetFormatPr defaultRowHeight="15" x14ac:dyDescent="0.25"/>
  <cols>
    <col min="1" max="1" width="6.28515625" customWidth="1"/>
    <col min="2" max="2" width="47" customWidth="1"/>
    <col min="3" max="6" width="10.140625" customWidth="1"/>
  </cols>
  <sheetData>
    <row r="1" spans="1:6" ht="15.75" x14ac:dyDescent="0.25">
      <c r="F1" s="25" t="s">
        <v>638</v>
      </c>
    </row>
    <row r="2" spans="1:6" ht="15.75" x14ac:dyDescent="0.25">
      <c r="A2" s="448" t="s">
        <v>730</v>
      </c>
      <c r="B2" s="448"/>
      <c r="C2" s="448"/>
      <c r="D2" s="448"/>
      <c r="E2" s="448"/>
      <c r="F2" s="448"/>
    </row>
    <row r="3" spans="1:6" ht="15.75" x14ac:dyDescent="0.25">
      <c r="A3" s="448" t="s">
        <v>126</v>
      </c>
      <c r="B3" s="448"/>
      <c r="C3" s="448"/>
      <c r="D3" s="448"/>
      <c r="E3" s="448"/>
      <c r="F3" s="448"/>
    </row>
    <row r="4" spans="1:6" ht="15.75" x14ac:dyDescent="0.25">
      <c r="F4" s="26" t="s">
        <v>56</v>
      </c>
    </row>
    <row r="5" spans="1:6" ht="15.75" x14ac:dyDescent="0.25">
      <c r="A5" s="449" t="s">
        <v>3</v>
      </c>
      <c r="B5" s="449" t="s">
        <v>4</v>
      </c>
      <c r="C5" s="449" t="s">
        <v>609</v>
      </c>
      <c r="D5" s="449" t="s">
        <v>696</v>
      </c>
      <c r="E5" s="449" t="s">
        <v>229</v>
      </c>
      <c r="F5" s="449"/>
    </row>
    <row r="6" spans="1:6" ht="31.5" x14ac:dyDescent="0.25">
      <c r="A6" s="449"/>
      <c r="B6" s="449"/>
      <c r="C6" s="449"/>
      <c r="D6" s="449"/>
      <c r="E6" s="29" t="s">
        <v>233</v>
      </c>
      <c r="F6" s="29" t="s">
        <v>389</v>
      </c>
    </row>
    <row r="7" spans="1:6" ht="15.75" x14ac:dyDescent="0.25">
      <c r="A7" s="29" t="s">
        <v>15</v>
      </c>
      <c r="B7" s="29" t="s">
        <v>16</v>
      </c>
      <c r="C7" s="29">
        <v>1</v>
      </c>
      <c r="D7" s="29">
        <v>2</v>
      </c>
      <c r="E7" s="29" t="s">
        <v>358</v>
      </c>
      <c r="F7" s="29" t="s">
        <v>359</v>
      </c>
    </row>
    <row r="8" spans="1:6" ht="15.75" x14ac:dyDescent="0.25">
      <c r="A8" s="29"/>
      <c r="B8" s="30" t="s">
        <v>90</v>
      </c>
      <c r="C8" s="28"/>
      <c r="D8" s="28"/>
      <c r="E8" s="28"/>
      <c r="F8" s="28"/>
    </row>
    <row r="9" spans="1:6" ht="31.5" x14ac:dyDescent="0.25">
      <c r="A9" s="29" t="s">
        <v>15</v>
      </c>
      <c r="B9" s="30" t="s">
        <v>498</v>
      </c>
      <c r="C9" s="28"/>
      <c r="D9" s="28"/>
      <c r="E9" s="28"/>
      <c r="F9" s="28"/>
    </row>
    <row r="10" spans="1:6" ht="31.5" x14ac:dyDescent="0.25">
      <c r="A10" s="29" t="s">
        <v>16</v>
      </c>
      <c r="B10" s="30" t="s">
        <v>499</v>
      </c>
      <c r="C10" s="28"/>
      <c r="D10" s="28"/>
      <c r="E10" s="28"/>
      <c r="F10" s="28"/>
    </row>
    <row r="11" spans="1:6" ht="15.75" x14ac:dyDescent="0.25">
      <c r="A11" s="29" t="s">
        <v>83</v>
      </c>
      <c r="B11" s="30" t="s">
        <v>500</v>
      </c>
      <c r="C11" s="28"/>
      <c r="D11" s="28"/>
      <c r="E11" s="28"/>
      <c r="F11" s="28"/>
    </row>
    <row r="12" spans="1:6" ht="15.75" x14ac:dyDescent="0.25">
      <c r="A12" s="28">
        <v>1</v>
      </c>
      <c r="B12" s="31" t="s">
        <v>391</v>
      </c>
      <c r="C12" s="28"/>
      <c r="D12" s="28"/>
      <c r="E12" s="28"/>
      <c r="F12" s="28"/>
    </row>
    <row r="13" spans="1:6" ht="15.75" x14ac:dyDescent="0.25">
      <c r="A13" s="28" t="s">
        <v>22</v>
      </c>
      <c r="B13" s="31" t="s">
        <v>393</v>
      </c>
      <c r="C13" s="28"/>
      <c r="D13" s="28"/>
      <c r="E13" s="28"/>
      <c r="F13" s="28"/>
    </row>
    <row r="14" spans="1:6" ht="15.75" x14ac:dyDescent="0.25">
      <c r="A14" s="28" t="s">
        <v>22</v>
      </c>
      <c r="B14" s="31" t="s">
        <v>394</v>
      </c>
      <c r="C14" s="28"/>
      <c r="D14" s="28"/>
      <c r="E14" s="28"/>
      <c r="F14" s="28"/>
    </row>
    <row r="15" spans="1:6" ht="15.75" x14ac:dyDescent="0.25">
      <c r="A15" s="28" t="s">
        <v>22</v>
      </c>
      <c r="B15" s="31" t="s">
        <v>501</v>
      </c>
      <c r="C15" s="28"/>
      <c r="D15" s="28"/>
      <c r="E15" s="28"/>
      <c r="F15" s="28"/>
    </row>
    <row r="16" spans="1:6" ht="15.75" x14ac:dyDescent="0.25">
      <c r="A16" s="28" t="s">
        <v>22</v>
      </c>
      <c r="B16" s="31" t="s">
        <v>502</v>
      </c>
      <c r="C16" s="28"/>
      <c r="D16" s="28"/>
      <c r="E16" s="28"/>
      <c r="F16" s="28"/>
    </row>
    <row r="17" spans="1:6" ht="15.75" x14ac:dyDescent="0.25">
      <c r="A17" s="28" t="s">
        <v>22</v>
      </c>
      <c r="B17" s="31" t="s">
        <v>503</v>
      </c>
      <c r="C17" s="28"/>
      <c r="D17" s="28"/>
      <c r="E17" s="28"/>
      <c r="F17" s="28"/>
    </row>
    <row r="18" spans="1:6" ht="15.75" x14ac:dyDescent="0.25">
      <c r="A18" s="28" t="s">
        <v>22</v>
      </c>
      <c r="B18" s="31" t="s">
        <v>504</v>
      </c>
      <c r="C18" s="28"/>
      <c r="D18" s="28"/>
      <c r="E18" s="28"/>
      <c r="F18" s="28"/>
    </row>
    <row r="19" spans="1:6" ht="15.75" x14ac:dyDescent="0.25">
      <c r="A19" s="28" t="s">
        <v>22</v>
      </c>
      <c r="B19" s="31" t="s">
        <v>505</v>
      </c>
      <c r="C19" s="28"/>
      <c r="D19" s="28"/>
      <c r="E19" s="28"/>
      <c r="F19" s="28"/>
    </row>
    <row r="20" spans="1:6" ht="15.75" x14ac:dyDescent="0.25">
      <c r="A20" s="28" t="s">
        <v>22</v>
      </c>
      <c r="B20" s="31" t="s">
        <v>506</v>
      </c>
      <c r="C20" s="28"/>
      <c r="D20" s="28"/>
      <c r="E20" s="28"/>
      <c r="F20" s="28"/>
    </row>
    <row r="21" spans="1:6" ht="15.75" x14ac:dyDescent="0.25">
      <c r="A21" s="28" t="s">
        <v>22</v>
      </c>
      <c r="B21" s="31" t="s">
        <v>507</v>
      </c>
      <c r="C21" s="28"/>
      <c r="D21" s="28"/>
      <c r="E21" s="28"/>
      <c r="F21" s="28"/>
    </row>
    <row r="22" spans="1:6" ht="15.75" x14ac:dyDescent="0.25">
      <c r="A22" s="28" t="s">
        <v>22</v>
      </c>
      <c r="B22" s="31" t="s">
        <v>508</v>
      </c>
      <c r="C22" s="28"/>
      <c r="D22" s="28"/>
      <c r="E22" s="28"/>
      <c r="F22" s="28"/>
    </row>
    <row r="23" spans="1:6" ht="31.5" x14ac:dyDescent="0.25">
      <c r="A23" s="28" t="s">
        <v>22</v>
      </c>
      <c r="B23" s="31" t="s">
        <v>509</v>
      </c>
      <c r="C23" s="28"/>
      <c r="D23" s="28"/>
      <c r="E23" s="28"/>
      <c r="F23" s="28"/>
    </row>
    <row r="24" spans="1:6" ht="15.75" x14ac:dyDescent="0.25">
      <c r="A24" s="28" t="s">
        <v>22</v>
      </c>
      <c r="B24" s="31" t="s">
        <v>510</v>
      </c>
      <c r="C24" s="28"/>
      <c r="D24" s="28"/>
      <c r="E24" s="28"/>
      <c r="F24" s="28"/>
    </row>
    <row r="25" spans="1:6" ht="15.75" x14ac:dyDescent="0.25">
      <c r="A25" s="28" t="s">
        <v>22</v>
      </c>
      <c r="B25" s="31" t="s">
        <v>511</v>
      </c>
      <c r="C25" s="28"/>
      <c r="D25" s="28"/>
      <c r="E25" s="28"/>
      <c r="F25" s="28"/>
    </row>
    <row r="26" spans="1:6" ht="63" x14ac:dyDescent="0.25">
      <c r="A26" s="28">
        <v>2</v>
      </c>
      <c r="B26" s="31" t="s">
        <v>398</v>
      </c>
      <c r="C26" s="28"/>
      <c r="D26" s="28"/>
      <c r="E26" s="28"/>
      <c r="F26" s="28"/>
    </row>
    <row r="27" spans="1:6" ht="15.75" x14ac:dyDescent="0.25">
      <c r="A27" s="28">
        <v>3</v>
      </c>
      <c r="B27" s="31" t="s">
        <v>399</v>
      </c>
      <c r="C27" s="28"/>
      <c r="D27" s="28"/>
      <c r="E27" s="28"/>
      <c r="F27" s="28"/>
    </row>
    <row r="28" spans="1:6" ht="15.75" x14ac:dyDescent="0.25">
      <c r="A28" s="29" t="s">
        <v>70</v>
      </c>
      <c r="B28" s="30" t="s">
        <v>96</v>
      </c>
      <c r="C28" s="28"/>
      <c r="D28" s="28"/>
      <c r="E28" s="28"/>
      <c r="F28" s="28"/>
    </row>
    <row r="29" spans="1:6" ht="15.75" x14ac:dyDescent="0.25">
      <c r="A29" s="28" t="s">
        <v>22</v>
      </c>
      <c r="B29" s="31" t="s">
        <v>393</v>
      </c>
      <c r="C29" s="28"/>
      <c r="D29" s="28"/>
      <c r="E29" s="28"/>
      <c r="F29" s="28"/>
    </row>
    <row r="30" spans="1:6" ht="15.75" x14ac:dyDescent="0.25">
      <c r="A30" s="28" t="s">
        <v>22</v>
      </c>
      <c r="B30" s="31" t="s">
        <v>421</v>
      </c>
      <c r="C30" s="28"/>
      <c r="D30" s="28"/>
      <c r="E30" s="28"/>
      <c r="F30" s="28"/>
    </row>
    <row r="31" spans="1:6" ht="15.75" x14ac:dyDescent="0.25">
      <c r="A31" s="28" t="s">
        <v>22</v>
      </c>
      <c r="B31" s="31" t="s">
        <v>501</v>
      </c>
      <c r="C31" s="28"/>
      <c r="D31" s="28"/>
      <c r="E31" s="28"/>
      <c r="F31" s="28"/>
    </row>
    <row r="32" spans="1:6" ht="15.75" x14ac:dyDescent="0.25">
      <c r="A32" s="28" t="s">
        <v>22</v>
      </c>
      <c r="B32" s="31" t="s">
        <v>502</v>
      </c>
      <c r="C32" s="28"/>
      <c r="D32" s="28"/>
      <c r="E32" s="28"/>
      <c r="F32" s="28"/>
    </row>
    <row r="33" spans="1:6" ht="15.75" x14ac:dyDescent="0.25">
      <c r="A33" s="28" t="s">
        <v>22</v>
      </c>
      <c r="B33" s="31" t="s">
        <v>503</v>
      </c>
      <c r="C33" s="28"/>
      <c r="D33" s="28"/>
      <c r="E33" s="28"/>
      <c r="F33" s="28"/>
    </row>
    <row r="34" spans="1:6" ht="15.75" x14ac:dyDescent="0.25">
      <c r="A34" s="28" t="s">
        <v>22</v>
      </c>
      <c r="B34" s="31" t="s">
        <v>504</v>
      </c>
      <c r="C34" s="28"/>
      <c r="D34" s="28"/>
      <c r="E34" s="28"/>
      <c r="F34" s="28"/>
    </row>
    <row r="35" spans="1:6" ht="15.75" x14ac:dyDescent="0.25">
      <c r="A35" s="28" t="s">
        <v>22</v>
      </c>
      <c r="B35" s="31" t="s">
        <v>505</v>
      </c>
      <c r="C35" s="28"/>
      <c r="D35" s="28"/>
      <c r="E35" s="28"/>
      <c r="F35" s="28"/>
    </row>
    <row r="36" spans="1:6" ht="15.75" x14ac:dyDescent="0.25">
      <c r="A36" s="28" t="s">
        <v>22</v>
      </c>
      <c r="B36" s="31" t="s">
        <v>506</v>
      </c>
      <c r="C36" s="28"/>
      <c r="D36" s="28"/>
      <c r="E36" s="28"/>
      <c r="F36" s="28"/>
    </row>
    <row r="37" spans="1:6" ht="15.75" x14ac:dyDescent="0.25">
      <c r="A37" s="28" t="s">
        <v>22</v>
      </c>
      <c r="B37" s="31" t="s">
        <v>507</v>
      </c>
      <c r="C37" s="28"/>
      <c r="D37" s="28"/>
      <c r="E37" s="28"/>
      <c r="F37" s="28"/>
    </row>
    <row r="38" spans="1:6" ht="15.75" x14ac:dyDescent="0.25">
      <c r="A38" s="28" t="s">
        <v>22</v>
      </c>
      <c r="B38" s="31" t="s">
        <v>508</v>
      </c>
      <c r="C38" s="28"/>
      <c r="D38" s="28"/>
      <c r="E38" s="28"/>
      <c r="F38" s="28"/>
    </row>
    <row r="39" spans="1:6" ht="31.5" x14ac:dyDescent="0.25">
      <c r="A39" s="28" t="s">
        <v>22</v>
      </c>
      <c r="B39" s="31" t="s">
        <v>509</v>
      </c>
      <c r="C39" s="28"/>
      <c r="D39" s="28"/>
      <c r="E39" s="28"/>
      <c r="F39" s="28"/>
    </row>
    <row r="40" spans="1:6" ht="15.75" x14ac:dyDescent="0.25">
      <c r="A40" s="28" t="s">
        <v>22</v>
      </c>
      <c r="B40" s="31" t="s">
        <v>510</v>
      </c>
      <c r="C40" s="28"/>
      <c r="D40" s="28"/>
      <c r="E40" s="28"/>
      <c r="F40" s="28"/>
    </row>
    <row r="41" spans="1:6" ht="15.75" x14ac:dyDescent="0.25">
      <c r="A41" s="28" t="s">
        <v>22</v>
      </c>
      <c r="B41" s="31" t="s">
        <v>512</v>
      </c>
      <c r="C41" s="28"/>
      <c r="D41" s="28"/>
      <c r="E41" s="28"/>
      <c r="F41" s="28"/>
    </row>
    <row r="42" spans="1:6" ht="31.5" x14ac:dyDescent="0.25">
      <c r="A42" s="29" t="s">
        <v>73</v>
      </c>
      <c r="B42" s="30" t="s">
        <v>407</v>
      </c>
      <c r="C42" s="28"/>
      <c r="D42" s="28"/>
      <c r="E42" s="28"/>
      <c r="F42" s="28"/>
    </row>
    <row r="43" spans="1:6" ht="15.75" x14ac:dyDescent="0.25">
      <c r="A43" s="29" t="s">
        <v>77</v>
      </c>
      <c r="B43" s="30" t="s">
        <v>408</v>
      </c>
      <c r="C43" s="28"/>
      <c r="D43" s="28"/>
      <c r="E43" s="28"/>
      <c r="F43" s="28"/>
    </row>
    <row r="44" spans="1:6" ht="15.75" x14ac:dyDescent="0.25">
      <c r="A44" s="29" t="s">
        <v>113</v>
      </c>
      <c r="B44" s="30" t="s">
        <v>247</v>
      </c>
      <c r="C44" s="28"/>
      <c r="D44" s="28"/>
      <c r="E44" s="28"/>
      <c r="F44" s="28"/>
    </row>
    <row r="45" spans="1:6" ht="15.75" x14ac:dyDescent="0.25">
      <c r="A45" s="29" t="s">
        <v>400</v>
      </c>
      <c r="B45" s="30" t="s">
        <v>98</v>
      </c>
      <c r="C45" s="28"/>
      <c r="D45" s="28"/>
      <c r="E45" s="28"/>
      <c r="F45" s="28"/>
    </row>
    <row r="46" spans="1:6" ht="15.75" x14ac:dyDescent="0.25">
      <c r="A46" s="29" t="s">
        <v>79</v>
      </c>
      <c r="B46" s="30" t="s">
        <v>422</v>
      </c>
      <c r="C46" s="28"/>
      <c r="D46" s="28"/>
      <c r="E46" s="28"/>
      <c r="F46" s="28"/>
    </row>
    <row r="47" spans="1:6" ht="20.25" customHeight="1" x14ac:dyDescent="0.25">
      <c r="A47" s="27" t="s">
        <v>595</v>
      </c>
    </row>
    <row r="48" spans="1:6" ht="23.25" customHeight="1" x14ac:dyDescent="0.25">
      <c r="A48" s="33" t="s">
        <v>514</v>
      </c>
    </row>
    <row r="49" spans="1:6" ht="54" customHeight="1" x14ac:dyDescent="0.25">
      <c r="A49" s="447" t="s">
        <v>513</v>
      </c>
      <c r="B49" s="447"/>
      <c r="C49" s="447"/>
      <c r="D49" s="447"/>
      <c r="E49" s="447"/>
      <c r="F49" s="447"/>
    </row>
  </sheetData>
  <mergeCells count="8">
    <mergeCell ref="A2:F2"/>
    <mergeCell ref="A3:F3"/>
    <mergeCell ref="A49:F49"/>
    <mergeCell ref="A5:A6"/>
    <mergeCell ref="B5:B6"/>
    <mergeCell ref="C5:C6"/>
    <mergeCell ref="D5:D6"/>
    <mergeCell ref="E5:F5"/>
  </mergeCells>
  <pageMargins left="0.7" right="0.7" top="0.75" bottom="0.75" header="0.3" footer="0.3"/>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00B0F0"/>
  </sheetPr>
  <dimension ref="A1:K34"/>
  <sheetViews>
    <sheetView workbookViewId="0">
      <selection activeCell="M17" sqref="M17"/>
    </sheetView>
  </sheetViews>
  <sheetFormatPr defaultRowHeight="15" x14ac:dyDescent="0.25"/>
  <cols>
    <col min="1" max="1" width="6.7109375" customWidth="1"/>
    <col min="2" max="2" width="34.85546875" customWidth="1"/>
  </cols>
  <sheetData>
    <row r="1" spans="1:11" ht="15.75" x14ac:dyDescent="0.25">
      <c r="K1" s="25" t="s">
        <v>639</v>
      </c>
    </row>
    <row r="2" spans="1:11" ht="34.5" customHeight="1" x14ac:dyDescent="0.25">
      <c r="A2" s="448" t="s">
        <v>731</v>
      </c>
      <c r="B2" s="448"/>
      <c r="C2" s="448"/>
      <c r="D2" s="448"/>
      <c r="E2" s="448"/>
      <c r="F2" s="448"/>
      <c r="G2" s="448"/>
      <c r="H2" s="448"/>
      <c r="I2" s="448"/>
      <c r="J2" s="448"/>
      <c r="K2" s="448"/>
    </row>
    <row r="3" spans="1:11" x14ac:dyDescent="0.25">
      <c r="A3" s="448" t="s">
        <v>458</v>
      </c>
      <c r="B3" s="542"/>
      <c r="C3" s="542"/>
      <c r="D3" s="542"/>
      <c r="E3" s="542"/>
      <c r="F3" s="542"/>
      <c r="G3" s="542"/>
      <c r="H3" s="542"/>
      <c r="I3" s="542"/>
      <c r="J3" s="542"/>
      <c r="K3" s="542"/>
    </row>
    <row r="4" spans="1:11" ht="15.75" x14ac:dyDescent="0.25">
      <c r="K4" s="26" t="s">
        <v>56</v>
      </c>
    </row>
    <row r="5" spans="1:11" ht="15.75" x14ac:dyDescent="0.25">
      <c r="A5" s="449" t="s">
        <v>3</v>
      </c>
      <c r="B5" s="449" t="s">
        <v>355</v>
      </c>
      <c r="C5" s="449" t="s">
        <v>356</v>
      </c>
      <c r="D5" s="449" t="s">
        <v>469</v>
      </c>
      <c r="E5" s="449"/>
      <c r="F5" s="449" t="s">
        <v>696</v>
      </c>
      <c r="G5" s="449" t="s">
        <v>469</v>
      </c>
      <c r="H5" s="449"/>
      <c r="I5" s="449" t="s">
        <v>366</v>
      </c>
      <c r="J5" s="449"/>
      <c r="K5" s="449"/>
    </row>
    <row r="6" spans="1:11" ht="63" x14ac:dyDescent="0.25">
      <c r="A6" s="449"/>
      <c r="B6" s="449"/>
      <c r="C6" s="449"/>
      <c r="D6" s="29" t="s">
        <v>131</v>
      </c>
      <c r="E6" s="29" t="s">
        <v>132</v>
      </c>
      <c r="F6" s="449"/>
      <c r="G6" s="29" t="s">
        <v>131</v>
      </c>
      <c r="H6" s="29" t="s">
        <v>132</v>
      </c>
      <c r="I6" s="29" t="s">
        <v>488</v>
      </c>
      <c r="J6" s="29" t="s">
        <v>131</v>
      </c>
      <c r="K6" s="29" t="s">
        <v>132</v>
      </c>
    </row>
    <row r="7" spans="1:11" ht="15.75" x14ac:dyDescent="0.25">
      <c r="A7" s="29" t="s">
        <v>15</v>
      </c>
      <c r="B7" s="29" t="s">
        <v>16</v>
      </c>
      <c r="C7" s="29" t="s">
        <v>489</v>
      </c>
      <c r="D7" s="29">
        <v>2</v>
      </c>
      <c r="E7" s="29">
        <v>3</v>
      </c>
      <c r="F7" s="29" t="s">
        <v>490</v>
      </c>
      <c r="G7" s="29">
        <v>5</v>
      </c>
      <c r="H7" s="29">
        <v>6</v>
      </c>
      <c r="I7" s="29" t="s">
        <v>491</v>
      </c>
      <c r="J7" s="29" t="s">
        <v>492</v>
      </c>
      <c r="K7" s="29" t="s">
        <v>493</v>
      </c>
    </row>
    <row r="8" spans="1:11" ht="15.75" x14ac:dyDescent="0.25">
      <c r="A8" s="29"/>
      <c r="B8" s="30" t="s">
        <v>90</v>
      </c>
      <c r="C8" s="28"/>
      <c r="D8" s="28"/>
      <c r="E8" s="28"/>
      <c r="F8" s="28"/>
      <c r="G8" s="28"/>
      <c r="H8" s="28"/>
      <c r="I8" s="28"/>
      <c r="J8" s="28"/>
      <c r="K8" s="28"/>
    </row>
    <row r="9" spans="1:11" ht="15.75" x14ac:dyDescent="0.25">
      <c r="A9" s="29" t="s">
        <v>15</v>
      </c>
      <c r="B9" s="30" t="s">
        <v>390</v>
      </c>
      <c r="C9" s="28"/>
      <c r="D9" s="28"/>
      <c r="E9" s="28"/>
      <c r="F9" s="28"/>
      <c r="G9" s="28"/>
      <c r="H9" s="28"/>
      <c r="I9" s="28"/>
      <c r="J9" s="28"/>
      <c r="K9" s="28"/>
    </row>
    <row r="10" spans="1:11" ht="15.75" x14ac:dyDescent="0.25">
      <c r="A10" s="29" t="s">
        <v>83</v>
      </c>
      <c r="B10" s="30" t="s">
        <v>363</v>
      </c>
      <c r="C10" s="28"/>
      <c r="D10" s="28"/>
      <c r="E10" s="28"/>
      <c r="F10" s="28"/>
      <c r="G10" s="28"/>
      <c r="H10" s="28"/>
      <c r="I10" s="28"/>
      <c r="J10" s="28"/>
      <c r="K10" s="28"/>
    </row>
    <row r="11" spans="1:11" ht="15.75" x14ac:dyDescent="0.25">
      <c r="A11" s="28">
        <v>1</v>
      </c>
      <c r="B11" s="31" t="s">
        <v>391</v>
      </c>
      <c r="C11" s="28"/>
      <c r="D11" s="28"/>
      <c r="E11" s="28"/>
      <c r="F11" s="28"/>
      <c r="G11" s="28"/>
      <c r="H11" s="28"/>
      <c r="I11" s="28"/>
      <c r="J11" s="28"/>
      <c r="K11" s="28"/>
    </row>
    <row r="12" spans="1:11" ht="15.75" x14ac:dyDescent="0.25">
      <c r="A12" s="28"/>
      <c r="B12" s="32" t="s">
        <v>392</v>
      </c>
      <c r="C12" s="28"/>
      <c r="D12" s="28"/>
      <c r="E12" s="28"/>
      <c r="F12" s="28"/>
      <c r="G12" s="28"/>
      <c r="H12" s="28"/>
      <c r="I12" s="28"/>
      <c r="J12" s="28"/>
      <c r="K12" s="28"/>
    </row>
    <row r="13" spans="1:11" ht="15.75" x14ac:dyDescent="0.25">
      <c r="A13" s="28" t="s">
        <v>22</v>
      </c>
      <c r="B13" s="32" t="s">
        <v>393</v>
      </c>
      <c r="C13" s="28"/>
      <c r="D13" s="28"/>
      <c r="E13" s="28"/>
      <c r="F13" s="28"/>
      <c r="G13" s="28"/>
      <c r="H13" s="28"/>
      <c r="I13" s="28"/>
      <c r="J13" s="28"/>
      <c r="K13" s="28"/>
    </row>
    <row r="14" spans="1:11" ht="15.75" x14ac:dyDescent="0.25">
      <c r="A14" s="28" t="s">
        <v>22</v>
      </c>
      <c r="B14" s="32" t="s">
        <v>394</v>
      </c>
      <c r="C14" s="28"/>
      <c r="D14" s="28"/>
      <c r="E14" s="28"/>
      <c r="F14" s="28"/>
      <c r="G14" s="28"/>
      <c r="H14" s="28"/>
      <c r="I14" s="28"/>
      <c r="J14" s="28"/>
      <c r="K14" s="28"/>
    </row>
    <row r="15" spans="1:11" ht="15.75" x14ac:dyDescent="0.25">
      <c r="A15" s="28"/>
      <c r="B15" s="32" t="s">
        <v>395</v>
      </c>
      <c r="C15" s="28"/>
      <c r="D15" s="28"/>
      <c r="E15" s="28"/>
      <c r="F15" s="28"/>
      <c r="G15" s="28"/>
      <c r="H15" s="28"/>
      <c r="I15" s="28"/>
      <c r="J15" s="28"/>
      <c r="K15" s="28"/>
    </row>
    <row r="16" spans="1:11" ht="31.5" x14ac:dyDescent="0.25">
      <c r="A16" s="28" t="s">
        <v>22</v>
      </c>
      <c r="B16" s="32" t="s">
        <v>396</v>
      </c>
      <c r="C16" s="28"/>
      <c r="D16" s="28"/>
      <c r="E16" s="28"/>
      <c r="F16" s="28"/>
      <c r="G16" s="28"/>
      <c r="H16" s="28"/>
      <c r="I16" s="28"/>
      <c r="J16" s="28"/>
      <c r="K16" s="28"/>
    </row>
    <row r="17" spans="1:11" ht="31.5" x14ac:dyDescent="0.25">
      <c r="A17" s="28" t="s">
        <v>22</v>
      </c>
      <c r="B17" s="32" t="s">
        <v>494</v>
      </c>
      <c r="C17" s="28"/>
      <c r="D17" s="28"/>
      <c r="E17" s="28"/>
      <c r="F17" s="28"/>
      <c r="G17" s="28"/>
      <c r="H17" s="28"/>
      <c r="I17" s="28"/>
      <c r="J17" s="28"/>
      <c r="K17" s="28"/>
    </row>
    <row r="18" spans="1:11" ht="94.5" x14ac:dyDescent="0.25">
      <c r="A18" s="28">
        <v>2</v>
      </c>
      <c r="B18" s="31" t="s">
        <v>398</v>
      </c>
      <c r="C18" s="28"/>
      <c r="D18" s="28"/>
      <c r="E18" s="28"/>
      <c r="F18" s="28"/>
      <c r="G18" s="28"/>
      <c r="H18" s="28"/>
      <c r="I18" s="28"/>
      <c r="J18" s="28"/>
      <c r="K18" s="28"/>
    </row>
    <row r="19" spans="1:11" ht="15.75" x14ac:dyDescent="0.25">
      <c r="A19" s="28">
        <v>3</v>
      </c>
      <c r="B19" s="31" t="s">
        <v>399</v>
      </c>
      <c r="C19" s="28"/>
      <c r="D19" s="28"/>
      <c r="E19" s="28"/>
      <c r="F19" s="28"/>
      <c r="G19" s="28"/>
      <c r="H19" s="28"/>
      <c r="I19" s="28"/>
      <c r="J19" s="28"/>
      <c r="K19" s="28"/>
    </row>
    <row r="20" spans="1:11" ht="15.75" x14ac:dyDescent="0.25">
      <c r="A20" s="29" t="s">
        <v>70</v>
      </c>
      <c r="B20" s="30" t="s">
        <v>96</v>
      </c>
      <c r="C20" s="28"/>
      <c r="D20" s="28"/>
      <c r="E20" s="28"/>
      <c r="F20" s="28"/>
      <c r="G20" s="28"/>
      <c r="H20" s="28"/>
      <c r="I20" s="28"/>
      <c r="J20" s="28"/>
      <c r="K20" s="28"/>
    </row>
    <row r="21" spans="1:11" ht="15.75" x14ac:dyDescent="0.25">
      <c r="A21" s="28"/>
      <c r="B21" s="32" t="s">
        <v>134</v>
      </c>
      <c r="C21" s="28"/>
      <c r="D21" s="28"/>
      <c r="E21" s="28"/>
      <c r="F21" s="28"/>
      <c r="G21" s="28"/>
      <c r="H21" s="28"/>
      <c r="I21" s="28"/>
      <c r="J21" s="28"/>
      <c r="K21" s="28"/>
    </row>
    <row r="22" spans="1:11" ht="15.75" x14ac:dyDescent="0.25">
      <c r="A22" s="28">
        <v>1</v>
      </c>
      <c r="B22" s="32" t="s">
        <v>393</v>
      </c>
      <c r="C22" s="28"/>
      <c r="D22" s="28"/>
      <c r="E22" s="28"/>
      <c r="F22" s="28"/>
      <c r="G22" s="28"/>
      <c r="H22" s="28"/>
      <c r="I22" s="28"/>
      <c r="J22" s="28"/>
      <c r="K22" s="28"/>
    </row>
    <row r="23" spans="1:11" ht="15.75" x14ac:dyDescent="0.25">
      <c r="A23" s="28">
        <v>2</v>
      </c>
      <c r="B23" s="32" t="s">
        <v>394</v>
      </c>
      <c r="C23" s="28"/>
      <c r="D23" s="28"/>
      <c r="E23" s="28"/>
      <c r="F23" s="28"/>
      <c r="G23" s="28"/>
      <c r="H23" s="28"/>
      <c r="I23" s="28"/>
      <c r="J23" s="28"/>
      <c r="K23" s="28"/>
    </row>
    <row r="24" spans="1:11" ht="31.5" x14ac:dyDescent="0.25">
      <c r="A24" s="29" t="s">
        <v>73</v>
      </c>
      <c r="B24" s="30" t="s">
        <v>97</v>
      </c>
      <c r="C24" s="28"/>
      <c r="D24" s="28"/>
      <c r="E24" s="28"/>
      <c r="F24" s="28"/>
      <c r="G24" s="28"/>
      <c r="H24" s="28"/>
      <c r="I24" s="28"/>
      <c r="J24" s="28"/>
      <c r="K24" s="28"/>
    </row>
    <row r="25" spans="1:11" ht="15.75" x14ac:dyDescent="0.25">
      <c r="A25" s="29" t="s">
        <v>77</v>
      </c>
      <c r="B25" s="30" t="s">
        <v>246</v>
      </c>
      <c r="C25" s="28"/>
      <c r="D25" s="28"/>
      <c r="E25" s="28"/>
      <c r="F25" s="28"/>
      <c r="G25" s="28"/>
      <c r="H25" s="28"/>
      <c r="I25" s="28"/>
      <c r="J25" s="28"/>
      <c r="K25" s="28"/>
    </row>
    <row r="26" spans="1:11" ht="15.75" x14ac:dyDescent="0.25">
      <c r="A26" s="29" t="s">
        <v>113</v>
      </c>
      <c r="B26" s="30" t="s">
        <v>247</v>
      </c>
      <c r="C26" s="28"/>
      <c r="D26" s="28"/>
      <c r="E26" s="28"/>
      <c r="F26" s="28"/>
      <c r="G26" s="28"/>
      <c r="H26" s="28"/>
      <c r="I26" s="28"/>
      <c r="J26" s="28"/>
      <c r="K26" s="28"/>
    </row>
    <row r="27" spans="1:11" ht="31.5" x14ac:dyDescent="0.25">
      <c r="A27" s="29" t="s">
        <v>400</v>
      </c>
      <c r="B27" s="30" t="s">
        <v>98</v>
      </c>
      <c r="C27" s="28"/>
      <c r="D27" s="28"/>
      <c r="E27" s="28"/>
      <c r="F27" s="28"/>
      <c r="G27" s="28"/>
      <c r="H27" s="28"/>
      <c r="I27" s="28"/>
      <c r="J27" s="28"/>
      <c r="K27" s="28"/>
    </row>
    <row r="28" spans="1:11" ht="31.5" x14ac:dyDescent="0.25">
      <c r="A28" s="29" t="s">
        <v>16</v>
      </c>
      <c r="B28" s="30" t="s">
        <v>401</v>
      </c>
      <c r="C28" s="28"/>
      <c r="D28" s="28"/>
      <c r="E28" s="28"/>
      <c r="F28" s="28"/>
      <c r="G28" s="28"/>
      <c r="H28" s="28"/>
      <c r="I28" s="28"/>
      <c r="J28" s="28"/>
      <c r="K28" s="28"/>
    </row>
    <row r="29" spans="1:11" ht="31.5" x14ac:dyDescent="0.25">
      <c r="A29" s="29" t="s">
        <v>83</v>
      </c>
      <c r="B29" s="30" t="s">
        <v>249</v>
      </c>
      <c r="C29" s="28"/>
      <c r="D29" s="28"/>
      <c r="E29" s="28"/>
      <c r="F29" s="28"/>
      <c r="G29" s="28"/>
      <c r="H29" s="28"/>
      <c r="I29" s="28"/>
      <c r="J29" s="28"/>
      <c r="K29" s="28"/>
    </row>
    <row r="30" spans="1:11" ht="31.5" x14ac:dyDescent="0.25">
      <c r="A30" s="28"/>
      <c r="B30" s="31" t="s">
        <v>402</v>
      </c>
      <c r="C30" s="28"/>
      <c r="D30" s="28"/>
      <c r="E30" s="28"/>
      <c r="F30" s="28"/>
      <c r="G30" s="28"/>
      <c r="H30" s="28"/>
      <c r="I30" s="28"/>
      <c r="J30" s="28"/>
      <c r="K30" s="28"/>
    </row>
    <row r="31" spans="1:11" ht="31.5" x14ac:dyDescent="0.25">
      <c r="A31" s="29" t="s">
        <v>70</v>
      </c>
      <c r="B31" s="30" t="s">
        <v>250</v>
      </c>
      <c r="C31" s="28"/>
      <c r="D31" s="28"/>
      <c r="E31" s="28"/>
      <c r="F31" s="28"/>
      <c r="G31" s="28"/>
      <c r="H31" s="28"/>
      <c r="I31" s="28"/>
      <c r="J31" s="28"/>
      <c r="K31" s="28"/>
    </row>
    <row r="32" spans="1:11" ht="31.5" x14ac:dyDescent="0.25">
      <c r="A32" s="28"/>
      <c r="B32" s="31" t="s">
        <v>403</v>
      </c>
      <c r="C32" s="28"/>
      <c r="D32" s="28"/>
      <c r="E32" s="28"/>
      <c r="F32" s="28"/>
      <c r="G32" s="28"/>
      <c r="H32" s="28"/>
      <c r="I32" s="28"/>
      <c r="J32" s="28"/>
      <c r="K32" s="28"/>
    </row>
    <row r="33" spans="1:11" ht="31.5" x14ac:dyDescent="0.25">
      <c r="A33" s="29" t="s">
        <v>79</v>
      </c>
      <c r="B33" s="30" t="s">
        <v>422</v>
      </c>
      <c r="C33" s="28"/>
      <c r="D33" s="28"/>
      <c r="E33" s="28"/>
      <c r="F33" s="28"/>
      <c r="G33" s="28"/>
      <c r="H33" s="28"/>
      <c r="I33" s="28"/>
      <c r="J33" s="28"/>
      <c r="K33" s="28"/>
    </row>
    <row r="34" spans="1:11" ht="49.5" customHeight="1" x14ac:dyDescent="0.25">
      <c r="A34" s="543" t="s">
        <v>495</v>
      </c>
      <c r="B34" s="543"/>
      <c r="C34" s="543"/>
      <c r="D34" s="543"/>
      <c r="E34" s="543"/>
      <c r="F34" s="543"/>
      <c r="G34" s="543"/>
      <c r="H34" s="543"/>
      <c r="I34" s="543"/>
      <c r="J34" s="543"/>
      <c r="K34" s="543"/>
    </row>
  </sheetData>
  <mergeCells count="10">
    <mergeCell ref="I5:K5"/>
    <mergeCell ref="A2:K2"/>
    <mergeCell ref="A3:K3"/>
    <mergeCell ref="A34:K34"/>
    <mergeCell ref="A5:A6"/>
    <mergeCell ref="B5:B6"/>
    <mergeCell ref="C5:C6"/>
    <mergeCell ref="D5:E5"/>
    <mergeCell ref="F5:F6"/>
    <mergeCell ref="G5:H5"/>
  </mergeCells>
  <pageMargins left="0.7" right="0.7" top="0.75" bottom="0.75" header="0.3" footer="0.3"/>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00B0F0"/>
  </sheetPr>
  <dimension ref="A1:Q35"/>
  <sheetViews>
    <sheetView workbookViewId="0">
      <selection activeCell="M17" sqref="M17"/>
    </sheetView>
  </sheetViews>
  <sheetFormatPr defaultRowHeight="15" x14ac:dyDescent="0.25"/>
  <cols>
    <col min="1" max="1" width="5.85546875" customWidth="1"/>
    <col min="2" max="2" width="52" customWidth="1"/>
  </cols>
  <sheetData>
    <row r="1" spans="1:17" ht="15.75" x14ac:dyDescent="0.25">
      <c r="Q1" s="25" t="s">
        <v>640</v>
      </c>
    </row>
    <row r="2" spans="1:17" ht="15.75" x14ac:dyDescent="0.25">
      <c r="A2" s="548" t="s">
        <v>732</v>
      </c>
      <c r="B2" s="548"/>
      <c r="C2" s="548"/>
      <c r="D2" s="548"/>
      <c r="E2" s="548"/>
      <c r="F2" s="548"/>
      <c r="G2" s="548"/>
      <c r="H2" s="548"/>
      <c r="I2" s="548"/>
      <c r="J2" s="548"/>
      <c r="K2" s="548"/>
      <c r="L2" s="548"/>
      <c r="M2" s="548"/>
      <c r="N2" s="548"/>
      <c r="O2" s="548"/>
      <c r="P2" s="548"/>
      <c r="Q2" s="548"/>
    </row>
    <row r="3" spans="1:17" ht="15.75" x14ac:dyDescent="0.25">
      <c r="A3" s="548" t="s">
        <v>126</v>
      </c>
      <c r="B3" s="548"/>
      <c r="C3" s="548"/>
      <c r="D3" s="548"/>
      <c r="E3" s="548"/>
      <c r="F3" s="548"/>
      <c r="G3" s="548"/>
      <c r="H3" s="548"/>
      <c r="I3" s="548"/>
      <c r="J3" s="548"/>
      <c r="K3" s="548"/>
      <c r="L3" s="548"/>
      <c r="M3" s="548"/>
      <c r="N3" s="548"/>
      <c r="O3" s="548"/>
      <c r="P3" s="548"/>
      <c r="Q3" s="548"/>
    </row>
    <row r="4" spans="1:17" ht="15.75" x14ac:dyDescent="0.25">
      <c r="Q4" s="42" t="s">
        <v>56</v>
      </c>
    </row>
    <row r="5" spans="1:17" ht="22.5" customHeight="1" x14ac:dyDescent="0.25">
      <c r="A5" s="441" t="s">
        <v>3</v>
      </c>
      <c r="B5" s="441" t="s">
        <v>161</v>
      </c>
      <c r="C5" s="441" t="s">
        <v>733</v>
      </c>
      <c r="D5" s="441"/>
      <c r="E5" s="441"/>
      <c r="F5" s="441" t="s">
        <v>696</v>
      </c>
      <c r="G5" s="441"/>
      <c r="H5" s="441"/>
      <c r="I5" s="441"/>
      <c r="J5" s="441"/>
      <c r="K5" s="441"/>
      <c r="L5" s="441"/>
      <c r="M5" s="441"/>
      <c r="N5" s="441"/>
      <c r="O5" s="441" t="s">
        <v>366</v>
      </c>
      <c r="P5" s="441"/>
      <c r="Q5" s="441"/>
    </row>
    <row r="6" spans="1:17" ht="23.25" customHeight="1" x14ac:dyDescent="0.25">
      <c r="A6" s="441"/>
      <c r="B6" s="441"/>
      <c r="C6" s="441" t="s">
        <v>130</v>
      </c>
      <c r="D6" s="441" t="s">
        <v>734</v>
      </c>
      <c r="E6" s="441" t="s">
        <v>150</v>
      </c>
      <c r="F6" s="441" t="s">
        <v>130</v>
      </c>
      <c r="G6" s="441" t="s">
        <v>734</v>
      </c>
      <c r="H6" s="441" t="s">
        <v>735</v>
      </c>
      <c r="I6" s="441" t="s">
        <v>736</v>
      </c>
      <c r="J6" s="441" t="s">
        <v>408</v>
      </c>
      <c r="K6" s="441" t="s">
        <v>519</v>
      </c>
      <c r="L6" s="441"/>
      <c r="M6" s="441"/>
      <c r="N6" s="441" t="s">
        <v>520</v>
      </c>
      <c r="O6" s="441" t="s">
        <v>130</v>
      </c>
      <c r="P6" s="441" t="s">
        <v>363</v>
      </c>
      <c r="Q6" s="441" t="s">
        <v>150</v>
      </c>
    </row>
    <row r="7" spans="1:17" ht="109.5" customHeight="1" x14ac:dyDescent="0.25">
      <c r="A7" s="441"/>
      <c r="B7" s="441"/>
      <c r="C7" s="441"/>
      <c r="D7" s="441"/>
      <c r="E7" s="441"/>
      <c r="F7" s="441"/>
      <c r="G7" s="441"/>
      <c r="H7" s="441"/>
      <c r="I7" s="441"/>
      <c r="J7" s="441"/>
      <c r="K7" s="43" t="s">
        <v>130</v>
      </c>
      <c r="L7" s="43" t="s">
        <v>363</v>
      </c>
      <c r="M7" s="43" t="s">
        <v>96</v>
      </c>
      <c r="N7" s="441"/>
      <c r="O7" s="441"/>
      <c r="P7" s="441"/>
      <c r="Q7" s="441"/>
    </row>
    <row r="8" spans="1:17" ht="15.75" x14ac:dyDescent="0.25">
      <c r="A8" s="43" t="s">
        <v>15</v>
      </c>
      <c r="B8" s="43" t="s">
        <v>16</v>
      </c>
      <c r="C8" s="43">
        <v>1</v>
      </c>
      <c r="D8" s="43">
        <v>2</v>
      </c>
      <c r="E8" s="43">
        <v>3</v>
      </c>
      <c r="F8" s="43">
        <v>4</v>
      </c>
      <c r="G8" s="43">
        <v>5</v>
      </c>
      <c r="H8" s="43">
        <v>6</v>
      </c>
      <c r="I8" s="43">
        <v>7</v>
      </c>
      <c r="J8" s="43">
        <v>8</v>
      </c>
      <c r="K8" s="43">
        <v>9</v>
      </c>
      <c r="L8" s="43">
        <v>10</v>
      </c>
      <c r="M8" s="43">
        <v>11</v>
      </c>
      <c r="N8" s="43">
        <v>12</v>
      </c>
      <c r="O8" s="43">
        <v>13</v>
      </c>
      <c r="P8" s="43">
        <v>14</v>
      </c>
      <c r="Q8" s="43">
        <v>15</v>
      </c>
    </row>
    <row r="9" spans="1:17" ht="15.75" x14ac:dyDescent="0.25">
      <c r="A9" s="30"/>
      <c r="B9" s="30" t="s">
        <v>133</v>
      </c>
      <c r="C9" s="28"/>
      <c r="D9" s="28"/>
      <c r="E9" s="28"/>
      <c r="F9" s="28"/>
      <c r="G9" s="28"/>
      <c r="H9" s="28"/>
      <c r="I9" s="28"/>
      <c r="J9" s="28"/>
      <c r="K9" s="28"/>
      <c r="L9" s="28"/>
      <c r="M9" s="28"/>
      <c r="N9" s="44"/>
      <c r="O9" s="44"/>
      <c r="P9" s="44"/>
      <c r="Q9" s="44"/>
    </row>
    <row r="10" spans="1:17" ht="15.75" x14ac:dyDescent="0.25">
      <c r="A10" s="29" t="s">
        <v>83</v>
      </c>
      <c r="B10" s="30" t="s">
        <v>521</v>
      </c>
      <c r="C10" s="28"/>
      <c r="D10" s="28"/>
      <c r="E10" s="28"/>
      <c r="F10" s="28"/>
      <c r="G10" s="28"/>
      <c r="H10" s="28"/>
      <c r="I10" s="28"/>
      <c r="J10" s="28"/>
      <c r="K10" s="28"/>
      <c r="L10" s="28"/>
      <c r="M10" s="28"/>
      <c r="N10" s="44"/>
      <c r="O10" s="44"/>
      <c r="P10" s="44"/>
      <c r="Q10" s="44"/>
    </row>
    <row r="11" spans="1:17" ht="15.75" x14ac:dyDescent="0.25">
      <c r="A11" s="29">
        <v>1</v>
      </c>
      <c r="B11" s="30" t="s">
        <v>166</v>
      </c>
      <c r="C11" s="28"/>
      <c r="D11" s="28"/>
      <c r="E11" s="28"/>
      <c r="F11" s="28"/>
      <c r="G11" s="28"/>
      <c r="H11" s="28"/>
      <c r="I11" s="28"/>
      <c r="J11" s="28"/>
      <c r="K11" s="28"/>
      <c r="L11" s="28"/>
      <c r="M11" s="28"/>
      <c r="N11" s="44"/>
      <c r="O11" s="44"/>
      <c r="P11" s="44"/>
      <c r="Q11" s="44"/>
    </row>
    <row r="12" spans="1:17" ht="15.75" x14ac:dyDescent="0.25">
      <c r="A12" s="29">
        <v>2</v>
      </c>
      <c r="B12" s="30" t="s">
        <v>167</v>
      </c>
      <c r="C12" s="28"/>
      <c r="D12" s="28"/>
      <c r="E12" s="28"/>
      <c r="F12" s="28"/>
      <c r="G12" s="28"/>
      <c r="H12" s="28"/>
      <c r="I12" s="28"/>
      <c r="J12" s="28"/>
      <c r="K12" s="28"/>
      <c r="L12" s="28"/>
      <c r="M12" s="28"/>
      <c r="N12" s="44"/>
      <c r="O12" s="44"/>
      <c r="P12" s="44"/>
      <c r="Q12" s="44"/>
    </row>
    <row r="13" spans="1:17" ht="15.75" x14ac:dyDescent="0.25">
      <c r="A13" s="29">
        <v>3</v>
      </c>
      <c r="B13" s="30" t="s">
        <v>201</v>
      </c>
      <c r="C13" s="28"/>
      <c r="D13" s="28"/>
      <c r="E13" s="28"/>
      <c r="F13" s="28"/>
      <c r="G13" s="28"/>
      <c r="H13" s="28"/>
      <c r="I13" s="28"/>
      <c r="J13" s="28"/>
      <c r="K13" s="28"/>
      <c r="L13" s="28"/>
      <c r="M13" s="28"/>
      <c r="N13" s="44"/>
      <c r="O13" s="44"/>
      <c r="P13" s="44"/>
      <c r="Q13" s="44"/>
    </row>
    <row r="14" spans="1:17" ht="31.5" x14ac:dyDescent="0.25">
      <c r="A14" s="29" t="s">
        <v>70</v>
      </c>
      <c r="B14" s="30" t="s">
        <v>737</v>
      </c>
      <c r="C14" s="28"/>
      <c r="D14" s="28"/>
      <c r="E14" s="28"/>
      <c r="F14" s="28"/>
      <c r="G14" s="28"/>
      <c r="H14" s="28"/>
      <c r="I14" s="28"/>
      <c r="J14" s="28"/>
      <c r="K14" s="28"/>
      <c r="L14" s="28"/>
      <c r="M14" s="28"/>
      <c r="N14" s="44"/>
      <c r="O14" s="44"/>
      <c r="P14" s="44"/>
      <c r="Q14" s="44"/>
    </row>
    <row r="15" spans="1:17" ht="15.75" x14ac:dyDescent="0.25">
      <c r="A15" s="29" t="s">
        <v>73</v>
      </c>
      <c r="B15" s="30" t="s">
        <v>738</v>
      </c>
      <c r="C15" s="28"/>
      <c r="D15" s="28"/>
      <c r="E15" s="28"/>
      <c r="F15" s="28"/>
      <c r="G15" s="28"/>
      <c r="H15" s="28"/>
      <c r="I15" s="28"/>
      <c r="J15" s="28"/>
      <c r="K15" s="28"/>
      <c r="L15" s="28"/>
      <c r="M15" s="28"/>
      <c r="N15" s="44"/>
      <c r="O15" s="44"/>
      <c r="P15" s="44"/>
      <c r="Q15" s="44"/>
    </row>
    <row r="16" spans="1:17" ht="15.75" x14ac:dyDescent="0.25">
      <c r="A16" s="29" t="s">
        <v>77</v>
      </c>
      <c r="B16" s="30" t="s">
        <v>618</v>
      </c>
      <c r="C16" s="28"/>
      <c r="D16" s="28"/>
      <c r="E16" s="28"/>
      <c r="F16" s="28"/>
      <c r="G16" s="28"/>
      <c r="H16" s="28"/>
      <c r="I16" s="28"/>
      <c r="J16" s="28"/>
      <c r="K16" s="28"/>
      <c r="L16" s="28"/>
      <c r="M16" s="28"/>
      <c r="N16" s="44"/>
      <c r="O16" s="44"/>
      <c r="P16" s="44"/>
      <c r="Q16" s="44"/>
    </row>
    <row r="17" spans="1:17" ht="15.75" x14ac:dyDescent="0.25">
      <c r="A17" s="29" t="s">
        <v>113</v>
      </c>
      <c r="B17" s="30" t="s">
        <v>619</v>
      </c>
      <c r="C17" s="28"/>
      <c r="D17" s="28"/>
      <c r="E17" s="28"/>
      <c r="F17" s="28"/>
      <c r="G17" s="28"/>
      <c r="H17" s="28"/>
      <c r="I17" s="28"/>
      <c r="J17" s="28"/>
      <c r="K17" s="28"/>
      <c r="L17" s="28"/>
      <c r="M17" s="28"/>
      <c r="N17" s="44"/>
      <c r="O17" s="44"/>
      <c r="P17" s="44"/>
      <c r="Q17" s="44"/>
    </row>
    <row r="18" spans="1:17" ht="31.5" x14ac:dyDescent="0.25">
      <c r="A18" s="29" t="s">
        <v>400</v>
      </c>
      <c r="B18" s="30" t="s">
        <v>739</v>
      </c>
      <c r="C18" s="28"/>
      <c r="D18" s="28"/>
      <c r="E18" s="28"/>
      <c r="F18" s="28"/>
      <c r="G18" s="28"/>
      <c r="H18" s="28"/>
      <c r="I18" s="28"/>
      <c r="J18" s="28"/>
      <c r="K18" s="28"/>
      <c r="L18" s="28"/>
      <c r="M18" s="28"/>
      <c r="N18" s="44"/>
      <c r="O18" s="44"/>
      <c r="P18" s="44"/>
      <c r="Q18" s="44"/>
    </row>
    <row r="19" spans="1:17" ht="31.5" x14ac:dyDescent="0.25">
      <c r="A19" s="29" t="s">
        <v>620</v>
      </c>
      <c r="B19" s="30" t="s">
        <v>526</v>
      </c>
      <c r="C19" s="28"/>
      <c r="D19" s="28"/>
      <c r="E19" s="28"/>
      <c r="F19" s="28"/>
      <c r="G19" s="28"/>
      <c r="H19" s="28"/>
      <c r="I19" s="28"/>
      <c r="J19" s="28"/>
      <c r="K19" s="28"/>
      <c r="L19" s="28"/>
      <c r="M19" s="28"/>
      <c r="N19" s="44"/>
      <c r="O19" s="44"/>
      <c r="P19" s="44"/>
      <c r="Q19" s="44"/>
    </row>
    <row r="20" spans="1:17" ht="15.75" x14ac:dyDescent="0.25">
      <c r="A20" s="45" t="s">
        <v>528</v>
      </c>
    </row>
    <row r="21" spans="1:17" ht="15.75" x14ac:dyDescent="0.25">
      <c r="A21" s="46" t="s">
        <v>742</v>
      </c>
    </row>
    <row r="22" spans="1:17" ht="15.75" x14ac:dyDescent="0.25">
      <c r="A22" s="46" t="s">
        <v>740</v>
      </c>
    </row>
    <row r="23" spans="1:17" ht="15.75" x14ac:dyDescent="0.25">
      <c r="A23" s="46" t="s">
        <v>741</v>
      </c>
    </row>
    <row r="24" spans="1:17" ht="15.75" x14ac:dyDescent="0.25">
      <c r="A24" s="47"/>
    </row>
    <row r="25" spans="1:17" x14ac:dyDescent="0.25">
      <c r="A25" s="40"/>
    </row>
    <row r="26" spans="1:17" x14ac:dyDescent="0.25">
      <c r="A26" s="40"/>
    </row>
    <row r="27" spans="1:17" x14ac:dyDescent="0.25">
      <c r="A27" s="40"/>
    </row>
    <row r="28" spans="1:17" x14ac:dyDescent="0.25">
      <c r="A28" s="40"/>
    </row>
    <row r="29" spans="1:17" x14ac:dyDescent="0.25">
      <c r="A29" s="40"/>
    </row>
    <row r="30" spans="1:17" x14ac:dyDescent="0.25">
      <c r="A30" s="40"/>
    </row>
    <row r="31" spans="1:17" x14ac:dyDescent="0.25">
      <c r="A31" s="40"/>
    </row>
    <row r="32" spans="1:17" x14ac:dyDescent="0.25">
      <c r="A32" s="40"/>
    </row>
    <row r="33" spans="1:1" x14ac:dyDescent="0.25">
      <c r="A33" s="40"/>
    </row>
    <row r="34" spans="1:1" x14ac:dyDescent="0.25">
      <c r="A34" s="40"/>
    </row>
    <row r="35" spans="1:1" x14ac:dyDescent="0.25">
      <c r="A35" s="40"/>
    </row>
  </sheetData>
  <mergeCells count="20">
    <mergeCell ref="A2:Q2"/>
    <mergeCell ref="A3:Q3"/>
    <mergeCell ref="H6:H7"/>
    <mergeCell ref="I6:I7"/>
    <mergeCell ref="J6:J7"/>
    <mergeCell ref="K6:M6"/>
    <mergeCell ref="N6:N7"/>
    <mergeCell ref="O6:O7"/>
    <mergeCell ref="A5:A7"/>
    <mergeCell ref="B5:B7"/>
    <mergeCell ref="C5:E5"/>
    <mergeCell ref="F5:N5"/>
    <mergeCell ref="O5:Q5"/>
    <mergeCell ref="C6:C7"/>
    <mergeCell ref="D6:D7"/>
    <mergeCell ref="E6:E7"/>
    <mergeCell ref="F6:F7"/>
    <mergeCell ref="G6:G7"/>
    <mergeCell ref="P6:P7"/>
    <mergeCell ref="Q6:Q7"/>
  </mergeCells>
  <pageMargins left="0.7" right="0.7" top="0.75" bottom="0.75" header="0.3" footer="0.3"/>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00B0F0"/>
  </sheetPr>
  <dimension ref="A1:T12"/>
  <sheetViews>
    <sheetView workbookViewId="0">
      <selection activeCell="M17" sqref="M17"/>
    </sheetView>
  </sheetViews>
  <sheetFormatPr defaultRowHeight="15" x14ac:dyDescent="0.25"/>
  <cols>
    <col min="1" max="1" width="7" customWidth="1"/>
    <col min="2" max="2" width="21.42578125" customWidth="1"/>
    <col min="17" max="17" width="11.140625" customWidth="1"/>
  </cols>
  <sheetData>
    <row r="1" spans="1:20" ht="15.75" x14ac:dyDescent="0.25">
      <c r="T1" s="48" t="s">
        <v>743</v>
      </c>
    </row>
    <row r="2" spans="1:20" ht="15.75" x14ac:dyDescent="0.25">
      <c r="A2" s="414" t="s">
        <v>744</v>
      </c>
      <c r="B2" s="414"/>
      <c r="C2" s="414"/>
      <c r="D2" s="414"/>
      <c r="E2" s="414"/>
      <c r="F2" s="414"/>
      <c r="G2" s="414"/>
      <c r="H2" s="414"/>
      <c r="I2" s="414"/>
      <c r="J2" s="414"/>
      <c r="K2" s="414"/>
      <c r="L2" s="414"/>
      <c r="M2" s="414"/>
      <c r="N2" s="414"/>
      <c r="O2" s="414"/>
      <c r="P2" s="414"/>
      <c r="Q2" s="414"/>
      <c r="R2" s="414"/>
      <c r="S2" s="414"/>
      <c r="T2" s="414"/>
    </row>
    <row r="3" spans="1:20" ht="15.75" x14ac:dyDescent="0.25">
      <c r="A3" s="414" t="s">
        <v>126</v>
      </c>
      <c r="B3" s="414"/>
      <c r="C3" s="414"/>
      <c r="D3" s="414"/>
      <c r="E3" s="414"/>
      <c r="F3" s="414"/>
      <c r="G3" s="414"/>
      <c r="H3" s="414"/>
      <c r="I3" s="414"/>
      <c r="J3" s="414"/>
      <c r="K3" s="414"/>
      <c r="L3" s="414"/>
      <c r="M3" s="414"/>
      <c r="N3" s="414"/>
      <c r="O3" s="414"/>
      <c r="P3" s="414"/>
      <c r="Q3" s="414"/>
      <c r="R3" s="414"/>
      <c r="S3" s="414"/>
      <c r="T3" s="414"/>
    </row>
    <row r="4" spans="1:20" ht="15.75" x14ac:dyDescent="0.25">
      <c r="T4" s="26" t="s">
        <v>56</v>
      </c>
    </row>
    <row r="5" spans="1:20" ht="15.75" x14ac:dyDescent="0.25">
      <c r="A5" s="449" t="s">
        <v>3</v>
      </c>
      <c r="B5" s="449" t="s">
        <v>161</v>
      </c>
      <c r="C5" s="449" t="s">
        <v>609</v>
      </c>
      <c r="D5" s="449" t="s">
        <v>696</v>
      </c>
      <c r="E5" s="449" t="s">
        <v>393</v>
      </c>
      <c r="F5" s="449" t="s">
        <v>394</v>
      </c>
      <c r="G5" s="449" t="s">
        <v>501</v>
      </c>
      <c r="H5" s="449" t="s">
        <v>502</v>
      </c>
      <c r="I5" s="449" t="s">
        <v>503</v>
      </c>
      <c r="J5" s="449" t="s">
        <v>504</v>
      </c>
      <c r="K5" s="449" t="s">
        <v>505</v>
      </c>
      <c r="L5" s="449" t="s">
        <v>506</v>
      </c>
      <c r="M5" s="449" t="s">
        <v>507</v>
      </c>
      <c r="N5" s="449" t="s">
        <v>508</v>
      </c>
      <c r="O5" s="449" t="s">
        <v>162</v>
      </c>
      <c r="P5" s="449"/>
      <c r="Q5" s="449" t="s">
        <v>509</v>
      </c>
      <c r="R5" s="449" t="s">
        <v>510</v>
      </c>
      <c r="S5" s="449" t="s">
        <v>511</v>
      </c>
      <c r="T5" s="449" t="s">
        <v>366</v>
      </c>
    </row>
    <row r="6" spans="1:20" ht="110.25" x14ac:dyDescent="0.25">
      <c r="A6" s="449"/>
      <c r="B6" s="449"/>
      <c r="C6" s="449"/>
      <c r="D6" s="449"/>
      <c r="E6" s="449"/>
      <c r="F6" s="449"/>
      <c r="G6" s="449"/>
      <c r="H6" s="449"/>
      <c r="I6" s="449"/>
      <c r="J6" s="449"/>
      <c r="K6" s="449"/>
      <c r="L6" s="449"/>
      <c r="M6" s="449"/>
      <c r="N6" s="449"/>
      <c r="O6" s="29" t="s">
        <v>532</v>
      </c>
      <c r="P6" s="29" t="s">
        <v>533</v>
      </c>
      <c r="Q6" s="449"/>
      <c r="R6" s="449"/>
      <c r="S6" s="449"/>
      <c r="T6" s="449"/>
    </row>
    <row r="7" spans="1:20"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c r="S7" s="29">
        <v>17</v>
      </c>
      <c r="T7" s="29" t="s">
        <v>745</v>
      </c>
    </row>
    <row r="8" spans="1:20" ht="24" customHeight="1" x14ac:dyDescent="0.25">
      <c r="A8" s="29"/>
      <c r="B8" s="30" t="s">
        <v>133</v>
      </c>
      <c r="C8" s="29"/>
      <c r="D8" s="29"/>
      <c r="E8" s="29"/>
      <c r="F8" s="29"/>
      <c r="G8" s="29"/>
      <c r="H8" s="29"/>
      <c r="I8" s="29"/>
      <c r="J8" s="29"/>
      <c r="K8" s="29"/>
      <c r="L8" s="29"/>
      <c r="M8" s="29"/>
      <c r="N8" s="29"/>
      <c r="O8" s="29"/>
      <c r="P8" s="29"/>
      <c r="Q8" s="29"/>
      <c r="R8" s="29"/>
      <c r="S8" s="29"/>
      <c r="T8" s="29"/>
    </row>
    <row r="9" spans="1:20" ht="24" customHeight="1" x14ac:dyDescent="0.25">
      <c r="A9" s="29">
        <v>1</v>
      </c>
      <c r="B9" s="30" t="s">
        <v>166</v>
      </c>
      <c r="C9" s="28"/>
      <c r="D9" s="28"/>
      <c r="E9" s="28"/>
      <c r="F9" s="28"/>
      <c r="G9" s="28"/>
      <c r="H9" s="28"/>
      <c r="I9" s="28"/>
      <c r="J9" s="28"/>
      <c r="K9" s="28"/>
      <c r="L9" s="28"/>
      <c r="M9" s="28"/>
      <c r="N9" s="28"/>
      <c r="O9" s="28"/>
      <c r="P9" s="28"/>
      <c r="Q9" s="28"/>
      <c r="R9" s="28"/>
      <c r="S9" s="28"/>
      <c r="T9" s="28"/>
    </row>
    <row r="10" spans="1:20" ht="24" customHeight="1" x14ac:dyDescent="0.25">
      <c r="A10" s="29">
        <v>2</v>
      </c>
      <c r="B10" s="30" t="s">
        <v>167</v>
      </c>
      <c r="C10" s="28"/>
      <c r="D10" s="28"/>
      <c r="E10" s="28"/>
      <c r="F10" s="28"/>
      <c r="G10" s="28"/>
      <c r="H10" s="28"/>
      <c r="I10" s="28"/>
      <c r="J10" s="28"/>
      <c r="K10" s="28"/>
      <c r="L10" s="28"/>
      <c r="M10" s="28"/>
      <c r="N10" s="28"/>
      <c r="O10" s="28"/>
      <c r="P10" s="28"/>
      <c r="Q10" s="28"/>
      <c r="R10" s="28"/>
      <c r="S10" s="28"/>
      <c r="T10" s="28"/>
    </row>
    <row r="11" spans="1:20" ht="24" customHeight="1" x14ac:dyDescent="0.25">
      <c r="A11" s="29">
        <v>3</v>
      </c>
      <c r="B11" s="30" t="s">
        <v>746</v>
      </c>
      <c r="C11" s="28"/>
      <c r="D11" s="28"/>
      <c r="E11" s="28"/>
      <c r="F11" s="28"/>
      <c r="G11" s="28"/>
      <c r="H11" s="28"/>
      <c r="I11" s="28"/>
      <c r="J11" s="28"/>
      <c r="K11" s="28"/>
      <c r="L11" s="28"/>
      <c r="M11" s="28"/>
      <c r="N11" s="28"/>
      <c r="O11" s="28"/>
      <c r="P11" s="28"/>
      <c r="Q11" s="28"/>
      <c r="R11" s="28"/>
      <c r="S11" s="28"/>
      <c r="T11" s="28"/>
    </row>
    <row r="12" spans="1:20" ht="24" customHeight="1" x14ac:dyDescent="0.25">
      <c r="A12" s="29">
        <v>4</v>
      </c>
      <c r="B12" s="30" t="s">
        <v>556</v>
      </c>
      <c r="C12" s="28"/>
      <c r="D12" s="28"/>
      <c r="E12" s="28"/>
      <c r="F12" s="28"/>
      <c r="G12" s="28"/>
      <c r="H12" s="28"/>
      <c r="I12" s="28"/>
      <c r="J12" s="28"/>
      <c r="K12" s="28"/>
      <c r="L12" s="28"/>
      <c r="M12" s="28"/>
      <c r="N12" s="28"/>
      <c r="O12" s="28"/>
      <c r="P12" s="28"/>
      <c r="Q12" s="28"/>
      <c r="R12" s="28"/>
      <c r="S12" s="28"/>
      <c r="T12" s="28"/>
    </row>
  </sheetData>
  <mergeCells count="21">
    <mergeCell ref="B5:B6"/>
    <mergeCell ref="C5:C6"/>
    <mergeCell ref="D5:D6"/>
    <mergeCell ref="E5:E6"/>
    <mergeCell ref="F5:F6"/>
    <mergeCell ref="T5:T6"/>
    <mergeCell ref="A2:T2"/>
    <mergeCell ref="A3:T3"/>
    <mergeCell ref="M5:M6"/>
    <mergeCell ref="N5:N6"/>
    <mergeCell ref="O5:P5"/>
    <mergeCell ref="Q5:Q6"/>
    <mergeCell ref="R5:R6"/>
    <mergeCell ref="S5:S6"/>
    <mergeCell ref="G5:G6"/>
    <mergeCell ref="H5:H6"/>
    <mergeCell ref="I5:I6"/>
    <mergeCell ref="J5:J6"/>
    <mergeCell ref="K5:K6"/>
    <mergeCell ref="L5:L6"/>
    <mergeCell ref="A5:A6"/>
  </mergeCells>
  <pageMargins left="0.7" right="0.7" top="0.75" bottom="0.75" header="0.3" footer="0.3"/>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rgb="FF00B0F0"/>
  </sheetPr>
  <dimension ref="A1:T13"/>
  <sheetViews>
    <sheetView workbookViewId="0">
      <selection activeCell="M17" sqref="M17"/>
    </sheetView>
  </sheetViews>
  <sheetFormatPr defaultRowHeight="15" x14ac:dyDescent="0.25"/>
  <cols>
    <col min="1" max="1" width="6.140625" customWidth="1"/>
    <col min="2" max="2" width="23.7109375" customWidth="1"/>
    <col min="17" max="17" width="10.28515625" customWidth="1"/>
  </cols>
  <sheetData>
    <row r="1" spans="1:20" ht="15.75" x14ac:dyDescent="0.25">
      <c r="T1" s="25" t="s">
        <v>747</v>
      </c>
    </row>
    <row r="2" spans="1:20" ht="15.75" x14ac:dyDescent="0.25">
      <c r="A2" s="414" t="s">
        <v>748</v>
      </c>
      <c r="B2" s="414"/>
      <c r="C2" s="414"/>
      <c r="D2" s="414"/>
      <c r="E2" s="414"/>
      <c r="F2" s="414"/>
      <c r="G2" s="414"/>
      <c r="H2" s="414"/>
      <c r="I2" s="414"/>
      <c r="J2" s="414"/>
      <c r="K2" s="414"/>
      <c r="L2" s="414"/>
      <c r="M2" s="414"/>
      <c r="N2" s="414"/>
      <c r="O2" s="414"/>
      <c r="P2" s="414"/>
      <c r="Q2" s="414"/>
      <c r="R2" s="414"/>
      <c r="S2" s="414"/>
      <c r="T2" s="414"/>
    </row>
    <row r="3" spans="1:20" ht="15.75" x14ac:dyDescent="0.25">
      <c r="A3" s="414" t="s">
        <v>126</v>
      </c>
      <c r="B3" s="414"/>
      <c r="C3" s="414"/>
      <c r="D3" s="414"/>
      <c r="E3" s="414"/>
      <c r="F3" s="414"/>
      <c r="G3" s="414"/>
      <c r="H3" s="414"/>
      <c r="I3" s="414"/>
      <c r="J3" s="414"/>
      <c r="K3" s="414"/>
      <c r="L3" s="414"/>
      <c r="M3" s="414"/>
      <c r="N3" s="414"/>
      <c r="O3" s="414"/>
      <c r="P3" s="414"/>
      <c r="Q3" s="414"/>
      <c r="R3" s="414"/>
      <c r="S3" s="414"/>
      <c r="T3" s="414"/>
    </row>
    <row r="4" spans="1:20" ht="15.75" x14ac:dyDescent="0.25">
      <c r="T4" s="26" t="s">
        <v>56</v>
      </c>
    </row>
    <row r="5" spans="1:20" ht="15.75" x14ac:dyDescent="0.25">
      <c r="A5" s="449" t="s">
        <v>3</v>
      </c>
      <c r="B5" s="449" t="s">
        <v>161</v>
      </c>
      <c r="C5" s="449" t="s">
        <v>609</v>
      </c>
      <c r="D5" s="449" t="s">
        <v>696</v>
      </c>
      <c r="E5" s="449" t="s">
        <v>393</v>
      </c>
      <c r="F5" s="449" t="s">
        <v>394</v>
      </c>
      <c r="G5" s="449" t="s">
        <v>501</v>
      </c>
      <c r="H5" s="449" t="s">
        <v>502</v>
      </c>
      <c r="I5" s="449" t="s">
        <v>503</v>
      </c>
      <c r="J5" s="449" t="s">
        <v>504</v>
      </c>
      <c r="K5" s="449" t="s">
        <v>505</v>
      </c>
      <c r="L5" s="449" t="s">
        <v>506</v>
      </c>
      <c r="M5" s="449" t="s">
        <v>507</v>
      </c>
      <c r="N5" s="449" t="s">
        <v>508</v>
      </c>
      <c r="O5" s="449" t="s">
        <v>162</v>
      </c>
      <c r="P5" s="449"/>
      <c r="Q5" s="449" t="s">
        <v>509</v>
      </c>
      <c r="R5" s="449" t="s">
        <v>510</v>
      </c>
      <c r="S5" s="449" t="s">
        <v>511</v>
      </c>
      <c r="T5" s="449" t="s">
        <v>366</v>
      </c>
    </row>
    <row r="6" spans="1:20" ht="110.25" x14ac:dyDescent="0.25">
      <c r="A6" s="449"/>
      <c r="B6" s="449"/>
      <c r="C6" s="449"/>
      <c r="D6" s="449"/>
      <c r="E6" s="449"/>
      <c r="F6" s="449"/>
      <c r="G6" s="449"/>
      <c r="H6" s="449"/>
      <c r="I6" s="449"/>
      <c r="J6" s="449"/>
      <c r="K6" s="449"/>
      <c r="L6" s="449"/>
      <c r="M6" s="449"/>
      <c r="N6" s="449"/>
      <c r="O6" s="29" t="s">
        <v>532</v>
      </c>
      <c r="P6" s="29" t="s">
        <v>533</v>
      </c>
      <c r="Q6" s="449"/>
      <c r="R6" s="449"/>
      <c r="S6" s="449"/>
      <c r="T6" s="449"/>
    </row>
    <row r="7" spans="1:20"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c r="S7" s="29">
        <v>17</v>
      </c>
      <c r="T7" s="29" t="s">
        <v>749</v>
      </c>
    </row>
    <row r="8" spans="1:20" ht="24" customHeight="1" x14ac:dyDescent="0.25">
      <c r="A8" s="29"/>
      <c r="B8" s="30" t="s">
        <v>133</v>
      </c>
      <c r="C8" s="29"/>
      <c r="D8" s="29"/>
      <c r="E8" s="29"/>
      <c r="F8" s="29"/>
      <c r="G8" s="29"/>
      <c r="H8" s="29"/>
      <c r="I8" s="29"/>
      <c r="J8" s="29"/>
      <c r="K8" s="29"/>
      <c r="L8" s="29"/>
      <c r="M8" s="29"/>
      <c r="N8" s="29"/>
      <c r="O8" s="29"/>
      <c r="P8" s="29"/>
      <c r="Q8" s="29"/>
      <c r="R8" s="29"/>
      <c r="S8" s="29"/>
      <c r="T8" s="29"/>
    </row>
    <row r="9" spans="1:20" ht="24" customHeight="1" x14ac:dyDescent="0.25">
      <c r="A9" s="29">
        <v>1</v>
      </c>
      <c r="B9" s="30" t="s">
        <v>166</v>
      </c>
      <c r="C9" s="28"/>
      <c r="D9" s="28"/>
      <c r="E9" s="28"/>
      <c r="F9" s="28"/>
      <c r="G9" s="28"/>
      <c r="H9" s="28"/>
      <c r="I9" s="28"/>
      <c r="J9" s="28"/>
      <c r="K9" s="28"/>
      <c r="L9" s="28"/>
      <c r="M9" s="28"/>
      <c r="N9" s="28"/>
      <c r="O9" s="28"/>
      <c r="P9" s="28"/>
      <c r="Q9" s="28"/>
      <c r="R9" s="28"/>
      <c r="S9" s="28"/>
      <c r="T9" s="28"/>
    </row>
    <row r="10" spans="1:20" ht="24" customHeight="1" x14ac:dyDescent="0.25">
      <c r="A10" s="29">
        <v>2</v>
      </c>
      <c r="B10" s="30" t="s">
        <v>167</v>
      </c>
      <c r="C10" s="28"/>
      <c r="D10" s="28"/>
      <c r="E10" s="28"/>
      <c r="F10" s="28"/>
      <c r="G10" s="28"/>
      <c r="H10" s="28"/>
      <c r="I10" s="28"/>
      <c r="J10" s="28"/>
      <c r="K10" s="28"/>
      <c r="L10" s="28"/>
      <c r="M10" s="28"/>
      <c r="N10" s="28"/>
      <c r="O10" s="28"/>
      <c r="P10" s="28"/>
      <c r="Q10" s="28"/>
      <c r="R10" s="28"/>
      <c r="S10" s="28"/>
      <c r="T10" s="28"/>
    </row>
    <row r="11" spans="1:20" ht="24" customHeight="1" x14ac:dyDescent="0.25">
      <c r="A11" s="29">
        <v>3</v>
      </c>
      <c r="B11" s="30" t="s">
        <v>746</v>
      </c>
      <c r="C11" s="28"/>
      <c r="D11" s="28"/>
      <c r="E11" s="28"/>
      <c r="F11" s="28"/>
      <c r="G11" s="28"/>
      <c r="H11" s="28"/>
      <c r="I11" s="28"/>
      <c r="J11" s="28"/>
      <c r="K11" s="28"/>
      <c r="L11" s="28"/>
      <c r="M11" s="28"/>
      <c r="N11" s="28"/>
      <c r="O11" s="28"/>
      <c r="P11" s="28"/>
      <c r="Q11" s="28"/>
      <c r="R11" s="28"/>
      <c r="S11" s="28"/>
      <c r="T11" s="28"/>
    </row>
    <row r="12" spans="1:20" ht="24" customHeight="1" x14ac:dyDescent="0.25">
      <c r="A12" s="29">
        <v>4</v>
      </c>
      <c r="B12" s="30" t="s">
        <v>556</v>
      </c>
      <c r="C12" s="28"/>
      <c r="D12" s="28"/>
      <c r="E12" s="28"/>
      <c r="F12" s="28"/>
      <c r="G12" s="28"/>
      <c r="H12" s="28"/>
      <c r="I12" s="28"/>
      <c r="J12" s="28"/>
      <c r="K12" s="28"/>
      <c r="L12" s="28"/>
      <c r="M12" s="28"/>
      <c r="N12" s="28"/>
      <c r="O12" s="28"/>
      <c r="P12" s="28"/>
      <c r="Q12" s="28"/>
      <c r="R12" s="28"/>
      <c r="S12" s="28"/>
      <c r="T12" s="28"/>
    </row>
    <row r="13" spans="1:20" ht="24" customHeight="1" x14ac:dyDescent="0.25"/>
  </sheetData>
  <mergeCells count="21">
    <mergeCell ref="B5:B6"/>
    <mergeCell ref="C5:C6"/>
    <mergeCell ref="D5:D6"/>
    <mergeCell ref="E5:E6"/>
    <mergeCell ref="F5:F6"/>
    <mergeCell ref="T5:T6"/>
    <mergeCell ref="A2:T2"/>
    <mergeCell ref="A3:T3"/>
    <mergeCell ref="M5:M6"/>
    <mergeCell ref="N5:N6"/>
    <mergeCell ref="O5:P5"/>
    <mergeCell ref="Q5:Q6"/>
    <mergeCell ref="R5:R6"/>
    <mergeCell ref="S5:S6"/>
    <mergeCell ref="G5:G6"/>
    <mergeCell ref="H5:H6"/>
    <mergeCell ref="I5:I6"/>
    <mergeCell ref="J5:J6"/>
    <mergeCell ref="K5:K6"/>
    <mergeCell ref="L5:L6"/>
    <mergeCell ref="A5:A6"/>
  </mergeCells>
  <pageMargins left="0.7" right="0.7" top="0.75" bottom="0.75" header="0.3" footer="0.3"/>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rgb="FF00B0F0"/>
  </sheetPr>
  <dimension ref="A1:J12"/>
  <sheetViews>
    <sheetView workbookViewId="0">
      <selection activeCell="M17" sqref="M17"/>
    </sheetView>
  </sheetViews>
  <sheetFormatPr defaultRowHeight="15" x14ac:dyDescent="0.25"/>
  <cols>
    <col min="1" max="1" width="6.7109375" customWidth="1"/>
    <col min="2" max="2" width="24.28515625" customWidth="1"/>
    <col min="3" max="10" width="10.7109375" customWidth="1"/>
  </cols>
  <sheetData>
    <row r="1" spans="1:10" ht="15.75" x14ac:dyDescent="0.25">
      <c r="J1" s="25" t="s">
        <v>750</v>
      </c>
    </row>
    <row r="2" spans="1:10" ht="41.25" customHeight="1" x14ac:dyDescent="0.25">
      <c r="A2" s="448" t="s">
        <v>751</v>
      </c>
      <c r="B2" s="448"/>
      <c r="C2" s="448"/>
      <c r="D2" s="448"/>
      <c r="E2" s="448"/>
      <c r="F2" s="448"/>
      <c r="G2" s="448"/>
      <c r="H2" s="448"/>
      <c r="I2" s="448"/>
      <c r="J2" s="448"/>
    </row>
    <row r="3" spans="1:10" ht="15.75" x14ac:dyDescent="0.25">
      <c r="A3" s="448" t="s">
        <v>126</v>
      </c>
      <c r="B3" s="448"/>
      <c r="C3" s="448"/>
      <c r="D3" s="448"/>
      <c r="E3" s="448"/>
      <c r="F3" s="448"/>
      <c r="G3" s="448"/>
      <c r="H3" s="448"/>
      <c r="I3" s="448"/>
      <c r="J3" s="448"/>
    </row>
    <row r="4" spans="1:10" ht="15.75" x14ac:dyDescent="0.25">
      <c r="J4" s="26" t="s">
        <v>56</v>
      </c>
    </row>
    <row r="5" spans="1:10" ht="15.75" x14ac:dyDescent="0.25">
      <c r="A5" s="449" t="s">
        <v>3</v>
      </c>
      <c r="B5" s="449" t="s">
        <v>161</v>
      </c>
      <c r="C5" s="449" t="s">
        <v>752</v>
      </c>
      <c r="D5" s="449" t="s">
        <v>469</v>
      </c>
      <c r="E5" s="449"/>
      <c r="F5" s="449"/>
      <c r="G5" s="449" t="s">
        <v>753</v>
      </c>
      <c r="H5" s="449" t="s">
        <v>754</v>
      </c>
      <c r="I5" s="449" t="s">
        <v>162</v>
      </c>
      <c r="J5" s="449"/>
    </row>
    <row r="6" spans="1:10" ht="47.25" x14ac:dyDescent="0.25">
      <c r="A6" s="449"/>
      <c r="B6" s="449"/>
      <c r="C6" s="449"/>
      <c r="D6" s="29" t="s">
        <v>755</v>
      </c>
      <c r="E6" s="29" t="s">
        <v>756</v>
      </c>
      <c r="F6" s="29" t="s">
        <v>757</v>
      </c>
      <c r="G6" s="449"/>
      <c r="H6" s="449"/>
      <c r="I6" s="29" t="s">
        <v>758</v>
      </c>
      <c r="J6" s="29" t="s">
        <v>759</v>
      </c>
    </row>
    <row r="7" spans="1:10" ht="15.75" x14ac:dyDescent="0.25">
      <c r="A7" s="29" t="s">
        <v>15</v>
      </c>
      <c r="B7" s="29" t="s">
        <v>16</v>
      </c>
      <c r="C7" s="29" t="s">
        <v>760</v>
      </c>
      <c r="D7" s="29">
        <v>2</v>
      </c>
      <c r="E7" s="29">
        <v>3</v>
      </c>
      <c r="F7" s="29">
        <v>4</v>
      </c>
      <c r="G7" s="29">
        <v>5</v>
      </c>
      <c r="H7" s="29" t="s">
        <v>761</v>
      </c>
      <c r="I7" s="29">
        <v>7</v>
      </c>
      <c r="J7" s="29">
        <v>8</v>
      </c>
    </row>
    <row r="8" spans="1:10" ht="24.75" customHeight="1" x14ac:dyDescent="0.25">
      <c r="A8" s="29"/>
      <c r="B8" s="30" t="s">
        <v>133</v>
      </c>
      <c r="C8" s="29"/>
      <c r="D8" s="29"/>
      <c r="E8" s="29"/>
      <c r="F8" s="29"/>
      <c r="G8" s="29"/>
      <c r="H8" s="29"/>
      <c r="I8" s="29"/>
      <c r="J8" s="29"/>
    </row>
    <row r="9" spans="1:10" ht="24.75" customHeight="1" x14ac:dyDescent="0.25">
      <c r="A9" s="29">
        <v>1</v>
      </c>
      <c r="B9" s="30" t="s">
        <v>166</v>
      </c>
      <c r="C9" s="28"/>
      <c r="D9" s="28"/>
      <c r="E9" s="28"/>
      <c r="F9" s="28"/>
      <c r="G9" s="28"/>
      <c r="H9" s="28"/>
      <c r="I9" s="28"/>
      <c r="J9" s="28"/>
    </row>
    <row r="10" spans="1:10" ht="24.75" customHeight="1" x14ac:dyDescent="0.25">
      <c r="A10" s="29">
        <v>2</v>
      </c>
      <c r="B10" s="30" t="s">
        <v>167</v>
      </c>
      <c r="C10" s="28"/>
      <c r="D10" s="28"/>
      <c r="E10" s="28"/>
      <c r="F10" s="28"/>
      <c r="G10" s="28"/>
      <c r="H10" s="28"/>
      <c r="I10" s="28"/>
      <c r="J10" s="28"/>
    </row>
    <row r="11" spans="1:10" ht="24.75" customHeight="1" x14ac:dyDescent="0.25">
      <c r="A11" s="29">
        <v>3</v>
      </c>
      <c r="B11" s="30" t="s">
        <v>534</v>
      </c>
      <c r="C11" s="28"/>
      <c r="D11" s="28"/>
      <c r="E11" s="28"/>
      <c r="F11" s="28"/>
      <c r="G11" s="28"/>
      <c r="H11" s="28"/>
      <c r="I11" s="28"/>
      <c r="J11" s="28"/>
    </row>
    <row r="12" spans="1:10" ht="24.75" customHeight="1" x14ac:dyDescent="0.25">
      <c r="A12" s="29"/>
      <c r="B12" s="30"/>
      <c r="C12" s="28"/>
      <c r="D12" s="28"/>
      <c r="E12" s="28"/>
      <c r="F12" s="28"/>
      <c r="G12" s="28"/>
      <c r="H12" s="28"/>
      <c r="I12" s="28"/>
      <c r="J12" s="28"/>
    </row>
  </sheetData>
  <mergeCells count="9">
    <mergeCell ref="I5:J5"/>
    <mergeCell ref="A2:J2"/>
    <mergeCell ref="A3:J3"/>
    <mergeCell ref="A5:A6"/>
    <mergeCell ref="B5:B6"/>
    <mergeCell ref="C5:C6"/>
    <mergeCell ref="D5:F5"/>
    <mergeCell ref="G5:G6"/>
    <mergeCell ref="H5:H6"/>
  </mergeCells>
  <pageMargins left="0.7" right="0.7" top="0.75" bottom="0.75" header="0.3" footer="0.3"/>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00B0F0"/>
  </sheetPr>
  <dimension ref="A1:S31"/>
  <sheetViews>
    <sheetView workbookViewId="0">
      <selection activeCell="M17" sqref="M17"/>
    </sheetView>
  </sheetViews>
  <sheetFormatPr defaultRowHeight="15" x14ac:dyDescent="0.25"/>
  <cols>
    <col min="1" max="1" width="6.28515625" customWidth="1"/>
    <col min="2" max="2" width="19.140625" customWidth="1"/>
    <col min="9" max="9" width="10.28515625" customWidth="1"/>
    <col min="12" max="12" width="9.5703125" customWidth="1"/>
  </cols>
  <sheetData>
    <row r="1" spans="1:19" ht="15.75" x14ac:dyDescent="0.25">
      <c r="S1" s="25" t="s">
        <v>762</v>
      </c>
    </row>
    <row r="2" spans="1:19" ht="15.75" x14ac:dyDescent="0.25">
      <c r="A2" s="448" t="s">
        <v>763</v>
      </c>
      <c r="B2" s="448"/>
      <c r="C2" s="448"/>
      <c r="D2" s="448"/>
      <c r="E2" s="448"/>
      <c r="F2" s="448"/>
      <c r="G2" s="448"/>
      <c r="H2" s="448"/>
      <c r="I2" s="448"/>
      <c r="J2" s="448"/>
      <c r="K2" s="448"/>
      <c r="L2" s="448"/>
      <c r="M2" s="448"/>
      <c r="N2" s="448"/>
      <c r="O2" s="448"/>
      <c r="P2" s="448"/>
      <c r="Q2" s="448"/>
      <c r="R2" s="448"/>
      <c r="S2" s="448"/>
    </row>
    <row r="3" spans="1:19" ht="15.75" x14ac:dyDescent="0.25">
      <c r="A3" s="448" t="s">
        <v>458</v>
      </c>
      <c r="B3" s="448"/>
      <c r="C3" s="448"/>
      <c r="D3" s="448"/>
      <c r="E3" s="448"/>
      <c r="F3" s="448"/>
      <c r="G3" s="448"/>
      <c r="H3" s="448"/>
      <c r="I3" s="448"/>
      <c r="J3" s="448"/>
      <c r="K3" s="448"/>
      <c r="L3" s="448"/>
      <c r="M3" s="448"/>
      <c r="N3" s="448"/>
      <c r="O3" s="448"/>
      <c r="P3" s="448"/>
      <c r="Q3" s="448"/>
      <c r="R3" s="448"/>
      <c r="S3" s="448"/>
    </row>
    <row r="4" spans="1:19" ht="15.75" x14ac:dyDescent="0.25">
      <c r="S4" s="26" t="s">
        <v>56</v>
      </c>
    </row>
    <row r="5" spans="1:19" ht="15.75" x14ac:dyDescent="0.25">
      <c r="A5" s="449" t="s">
        <v>3</v>
      </c>
      <c r="B5" s="449" t="s">
        <v>468</v>
      </c>
      <c r="C5" s="449" t="s">
        <v>764</v>
      </c>
      <c r="D5" s="449"/>
      <c r="E5" s="449"/>
      <c r="F5" s="449" t="s">
        <v>696</v>
      </c>
      <c r="G5" s="449"/>
      <c r="H5" s="449"/>
      <c r="I5" s="449"/>
      <c r="J5" s="449"/>
      <c r="K5" s="449"/>
      <c r="L5" s="449"/>
      <c r="M5" s="449"/>
      <c r="N5" s="449"/>
      <c r="O5" s="449"/>
      <c r="P5" s="449"/>
      <c r="Q5" s="449" t="s">
        <v>366</v>
      </c>
      <c r="R5" s="449"/>
      <c r="S5" s="449"/>
    </row>
    <row r="6" spans="1:19" ht="15.75" x14ac:dyDescent="0.25">
      <c r="A6" s="449"/>
      <c r="B6" s="449"/>
      <c r="C6" s="449" t="s">
        <v>130</v>
      </c>
      <c r="D6" s="449" t="s">
        <v>363</v>
      </c>
      <c r="E6" s="449" t="s">
        <v>149</v>
      </c>
      <c r="F6" s="449" t="s">
        <v>130</v>
      </c>
      <c r="G6" s="449" t="s">
        <v>363</v>
      </c>
      <c r="H6" s="449"/>
      <c r="I6" s="449"/>
      <c r="J6" s="449" t="s">
        <v>96</v>
      </c>
      <c r="K6" s="449"/>
      <c r="L6" s="449"/>
      <c r="M6" s="449" t="s">
        <v>765</v>
      </c>
      <c r="N6" s="449"/>
      <c r="O6" s="449"/>
      <c r="P6" s="449" t="s">
        <v>251</v>
      </c>
      <c r="Q6" s="449" t="s">
        <v>130</v>
      </c>
      <c r="R6" s="449" t="s">
        <v>363</v>
      </c>
      <c r="S6" s="449" t="s">
        <v>149</v>
      </c>
    </row>
    <row r="7" spans="1:19" ht="15.75" x14ac:dyDescent="0.25">
      <c r="A7" s="449"/>
      <c r="B7" s="449"/>
      <c r="C7" s="449"/>
      <c r="D7" s="449"/>
      <c r="E7" s="449"/>
      <c r="F7" s="449"/>
      <c r="G7" s="449" t="s">
        <v>130</v>
      </c>
      <c r="H7" s="449" t="s">
        <v>162</v>
      </c>
      <c r="I7" s="449"/>
      <c r="J7" s="449" t="s">
        <v>130</v>
      </c>
      <c r="K7" s="449" t="s">
        <v>162</v>
      </c>
      <c r="L7" s="449"/>
      <c r="M7" s="449" t="s">
        <v>130</v>
      </c>
      <c r="N7" s="449" t="s">
        <v>162</v>
      </c>
      <c r="O7" s="449"/>
      <c r="P7" s="449"/>
      <c r="Q7" s="449"/>
      <c r="R7" s="449"/>
      <c r="S7" s="449"/>
    </row>
    <row r="8" spans="1:19" ht="63" x14ac:dyDescent="0.25">
      <c r="A8" s="449"/>
      <c r="B8" s="449"/>
      <c r="C8" s="449"/>
      <c r="D8" s="449"/>
      <c r="E8" s="449"/>
      <c r="F8" s="449"/>
      <c r="G8" s="449"/>
      <c r="H8" s="29" t="s">
        <v>766</v>
      </c>
      <c r="I8" s="29" t="s">
        <v>394</v>
      </c>
      <c r="J8" s="449"/>
      <c r="K8" s="29" t="s">
        <v>766</v>
      </c>
      <c r="L8" s="29" t="s">
        <v>613</v>
      </c>
      <c r="M8" s="449"/>
      <c r="N8" s="29" t="s">
        <v>363</v>
      </c>
      <c r="O8" s="29" t="s">
        <v>96</v>
      </c>
      <c r="P8" s="449"/>
      <c r="Q8" s="449"/>
      <c r="R8" s="449"/>
      <c r="S8" s="449"/>
    </row>
    <row r="9" spans="1:19" ht="15.75" x14ac:dyDescent="0.25">
      <c r="A9" s="29" t="s">
        <v>15</v>
      </c>
      <c r="B9" s="29" t="s">
        <v>16</v>
      </c>
      <c r="C9" s="29">
        <v>1</v>
      </c>
      <c r="D9" s="29">
        <v>2</v>
      </c>
      <c r="E9" s="29">
        <v>3</v>
      </c>
      <c r="F9" s="29">
        <v>4</v>
      </c>
      <c r="G9" s="29">
        <v>5</v>
      </c>
      <c r="H9" s="29">
        <v>6</v>
      </c>
      <c r="I9" s="29">
        <v>7</v>
      </c>
      <c r="J9" s="29">
        <v>8</v>
      </c>
      <c r="K9" s="29">
        <v>9</v>
      </c>
      <c r="L9" s="29">
        <v>10</v>
      </c>
      <c r="M9" s="29">
        <v>11</v>
      </c>
      <c r="N9" s="29">
        <v>12</v>
      </c>
      <c r="O9" s="29">
        <v>13</v>
      </c>
      <c r="P9" s="29">
        <v>14</v>
      </c>
      <c r="Q9" s="29" t="s">
        <v>767</v>
      </c>
      <c r="R9" s="29" t="s">
        <v>768</v>
      </c>
      <c r="S9" s="29">
        <v>17</v>
      </c>
    </row>
    <row r="10" spans="1:19" ht="15.75" x14ac:dyDescent="0.25">
      <c r="A10" s="30"/>
      <c r="B10" s="30" t="s">
        <v>133</v>
      </c>
      <c r="C10" s="28"/>
      <c r="D10" s="28"/>
      <c r="E10" s="28"/>
      <c r="F10" s="28"/>
      <c r="G10" s="28"/>
      <c r="H10" s="28"/>
      <c r="I10" s="28"/>
      <c r="J10" s="28"/>
      <c r="K10" s="28"/>
      <c r="L10" s="28"/>
      <c r="M10" s="28"/>
      <c r="N10" s="28"/>
      <c r="O10" s="28"/>
      <c r="P10" s="28"/>
      <c r="Q10" s="28"/>
      <c r="R10" s="28"/>
      <c r="S10" s="28"/>
    </row>
    <row r="11" spans="1:19" ht="15.75" x14ac:dyDescent="0.25">
      <c r="A11" s="28">
        <v>1</v>
      </c>
      <c r="B11" s="31" t="s">
        <v>169</v>
      </c>
      <c r="C11" s="28"/>
      <c r="D11" s="28"/>
      <c r="E11" s="28"/>
      <c r="F11" s="28"/>
      <c r="G11" s="28"/>
      <c r="H11" s="28"/>
      <c r="I11" s="28"/>
      <c r="J11" s="28"/>
      <c r="K11" s="28"/>
      <c r="L11" s="28"/>
      <c r="M11" s="28"/>
      <c r="N11" s="28"/>
      <c r="O11" s="28"/>
      <c r="P11" s="28"/>
      <c r="Q11" s="28"/>
      <c r="R11" s="28"/>
      <c r="S11" s="28"/>
    </row>
    <row r="12" spans="1:19" ht="15.75" x14ac:dyDescent="0.25">
      <c r="A12" s="28">
        <v>2</v>
      </c>
      <c r="B12" s="31" t="s">
        <v>170</v>
      </c>
      <c r="C12" s="28"/>
      <c r="D12" s="28"/>
      <c r="E12" s="28"/>
      <c r="F12" s="28"/>
      <c r="G12" s="28"/>
      <c r="H12" s="28"/>
      <c r="I12" s="28"/>
      <c r="J12" s="28"/>
      <c r="K12" s="28"/>
      <c r="L12" s="28"/>
      <c r="M12" s="28"/>
      <c r="N12" s="28"/>
      <c r="O12" s="28"/>
      <c r="P12" s="28"/>
      <c r="Q12" s="28"/>
      <c r="R12" s="28"/>
      <c r="S12" s="28"/>
    </row>
    <row r="13" spans="1:19" ht="15.75" x14ac:dyDescent="0.25">
      <c r="A13" s="28">
        <v>3</v>
      </c>
      <c r="B13" s="31" t="s">
        <v>555</v>
      </c>
      <c r="C13" s="28"/>
      <c r="D13" s="28"/>
      <c r="E13" s="28"/>
      <c r="F13" s="28"/>
      <c r="G13" s="28"/>
      <c r="H13" s="28"/>
      <c r="I13" s="28"/>
      <c r="J13" s="28"/>
      <c r="K13" s="28"/>
      <c r="L13" s="28"/>
      <c r="M13" s="28"/>
      <c r="N13" s="28"/>
      <c r="O13" s="28"/>
      <c r="P13" s="28"/>
      <c r="Q13" s="28"/>
      <c r="R13" s="28"/>
      <c r="S13" s="28"/>
    </row>
    <row r="14" spans="1:19" ht="15.75" x14ac:dyDescent="0.25">
      <c r="A14" s="28">
        <v>4</v>
      </c>
      <c r="B14" s="31" t="s">
        <v>172</v>
      </c>
      <c r="C14" s="28"/>
      <c r="D14" s="28"/>
      <c r="E14" s="28"/>
      <c r="F14" s="28"/>
      <c r="G14" s="28"/>
      <c r="H14" s="28"/>
      <c r="I14" s="28"/>
      <c r="J14" s="28"/>
      <c r="K14" s="28"/>
      <c r="L14" s="28"/>
      <c r="M14" s="28"/>
      <c r="N14" s="28"/>
      <c r="O14" s="28"/>
      <c r="P14" s="28"/>
      <c r="Q14" s="28"/>
      <c r="R14" s="28"/>
      <c r="S14" s="28"/>
    </row>
    <row r="15" spans="1:19" ht="15.75" x14ac:dyDescent="0.25">
      <c r="A15" s="28">
        <v>5</v>
      </c>
      <c r="B15" s="31" t="s">
        <v>198</v>
      </c>
      <c r="C15" s="28"/>
      <c r="D15" s="28"/>
      <c r="E15" s="28"/>
      <c r="F15" s="28"/>
      <c r="G15" s="28"/>
      <c r="H15" s="28"/>
      <c r="I15" s="28"/>
      <c r="J15" s="28"/>
      <c r="K15" s="28"/>
      <c r="L15" s="28"/>
      <c r="M15" s="28"/>
      <c r="N15" s="28"/>
      <c r="O15" s="28"/>
      <c r="P15" s="28"/>
      <c r="Q15" s="28"/>
      <c r="R15" s="28"/>
      <c r="S15" s="28"/>
    </row>
    <row r="16" spans="1:19" ht="15.75" x14ac:dyDescent="0.25">
      <c r="A16" s="28">
        <v>6</v>
      </c>
      <c r="B16" s="31" t="s">
        <v>174</v>
      </c>
      <c r="C16" s="28"/>
      <c r="D16" s="28"/>
      <c r="E16" s="28"/>
      <c r="F16" s="28"/>
      <c r="G16" s="28"/>
      <c r="H16" s="28"/>
      <c r="I16" s="28"/>
      <c r="J16" s="28"/>
      <c r="K16" s="28"/>
      <c r="L16" s="28"/>
      <c r="M16" s="28"/>
      <c r="N16" s="28"/>
      <c r="O16" s="28"/>
      <c r="P16" s="28"/>
      <c r="Q16" s="28"/>
      <c r="R16" s="28"/>
      <c r="S16" s="28"/>
    </row>
    <row r="17" spans="1:19" ht="15.75" x14ac:dyDescent="0.25">
      <c r="A17" s="28">
        <v>7</v>
      </c>
      <c r="B17" s="31" t="s">
        <v>175</v>
      </c>
      <c r="C17" s="28"/>
      <c r="D17" s="28"/>
      <c r="E17" s="28"/>
      <c r="F17" s="28"/>
      <c r="G17" s="28"/>
      <c r="H17" s="28"/>
      <c r="I17" s="28"/>
      <c r="J17" s="28"/>
      <c r="K17" s="28"/>
      <c r="L17" s="28"/>
      <c r="M17" s="28"/>
      <c r="N17" s="28"/>
      <c r="O17" s="28"/>
      <c r="P17" s="28"/>
      <c r="Q17" s="28"/>
      <c r="R17" s="28"/>
      <c r="S17" s="28"/>
    </row>
    <row r="18" spans="1:19" ht="15.75" x14ac:dyDescent="0.25">
      <c r="A18" s="28">
        <v>8</v>
      </c>
      <c r="B18" s="31" t="s">
        <v>557</v>
      </c>
      <c r="C18" s="28"/>
      <c r="D18" s="28"/>
      <c r="E18" s="28"/>
      <c r="F18" s="28"/>
      <c r="G18" s="28"/>
      <c r="H18" s="28"/>
      <c r="I18" s="28"/>
      <c r="J18" s="28"/>
      <c r="K18" s="28"/>
      <c r="L18" s="28"/>
      <c r="M18" s="28"/>
      <c r="N18" s="28"/>
      <c r="O18" s="28"/>
      <c r="P18" s="28"/>
      <c r="Q18" s="28"/>
      <c r="R18" s="28"/>
      <c r="S18" s="28"/>
    </row>
    <row r="19" spans="1:19" ht="15.75" x14ac:dyDescent="0.25">
      <c r="A19" s="28">
        <v>9</v>
      </c>
      <c r="B19" s="31" t="s">
        <v>198</v>
      </c>
      <c r="C19" s="28"/>
      <c r="D19" s="28"/>
      <c r="E19" s="28"/>
      <c r="F19" s="28"/>
      <c r="G19" s="28"/>
      <c r="H19" s="28"/>
      <c r="I19" s="28"/>
      <c r="J19" s="28"/>
      <c r="K19" s="28"/>
      <c r="L19" s="28"/>
      <c r="M19" s="28"/>
      <c r="N19" s="28"/>
      <c r="O19" s="28"/>
      <c r="P19" s="28"/>
      <c r="Q19" s="28"/>
      <c r="R19" s="28"/>
      <c r="S19" s="28"/>
    </row>
    <row r="20" spans="1:19" ht="15.75" x14ac:dyDescent="0.25">
      <c r="A20" s="27" t="s">
        <v>595</v>
      </c>
    </row>
    <row r="21" spans="1:19" ht="15.75" x14ac:dyDescent="0.25">
      <c r="A21" s="33" t="s">
        <v>771</v>
      </c>
    </row>
    <row r="22" spans="1:19" ht="15.75" x14ac:dyDescent="0.25">
      <c r="A22" s="33" t="s">
        <v>769</v>
      </c>
    </row>
    <row r="23" spans="1:19" ht="15.75" x14ac:dyDescent="0.25">
      <c r="A23" s="33" t="s">
        <v>770</v>
      </c>
    </row>
    <row r="24" spans="1:19" x14ac:dyDescent="0.25">
      <c r="A24" s="40"/>
    </row>
    <row r="25" spans="1:19" x14ac:dyDescent="0.25">
      <c r="A25" s="40"/>
    </row>
    <row r="26" spans="1:19" x14ac:dyDescent="0.25">
      <c r="A26" s="40"/>
    </row>
    <row r="27" spans="1:19" x14ac:dyDescent="0.25">
      <c r="A27" s="40"/>
    </row>
    <row r="28" spans="1:19" x14ac:dyDescent="0.25">
      <c r="A28" s="40"/>
    </row>
    <row r="29" spans="1:19" x14ac:dyDescent="0.25">
      <c r="A29" s="40"/>
    </row>
    <row r="30" spans="1:19" x14ac:dyDescent="0.25">
      <c r="A30" s="40"/>
    </row>
    <row r="31" spans="1:19" x14ac:dyDescent="0.25">
      <c r="A31" s="40"/>
    </row>
  </sheetData>
  <mergeCells count="24">
    <mergeCell ref="C5:E5"/>
    <mergeCell ref="F5:P5"/>
    <mergeCell ref="Q5:S5"/>
    <mergeCell ref="C6:C8"/>
    <mergeCell ref="D6:D8"/>
    <mergeCell ref="E6:E8"/>
    <mergeCell ref="F6:F8"/>
    <mergeCell ref="G6:I6"/>
    <mergeCell ref="A2:S2"/>
    <mergeCell ref="A3:S3"/>
    <mergeCell ref="G7:G8"/>
    <mergeCell ref="H7:I7"/>
    <mergeCell ref="J7:J8"/>
    <mergeCell ref="K7:L7"/>
    <mergeCell ref="M7:M8"/>
    <mergeCell ref="N7:O7"/>
    <mergeCell ref="J6:L6"/>
    <mergeCell ref="M6:O6"/>
    <mergeCell ref="P6:P8"/>
    <mergeCell ref="Q6:Q8"/>
    <mergeCell ref="R6:R8"/>
    <mergeCell ref="S6:S8"/>
    <mergeCell ref="A5:A8"/>
    <mergeCell ref="B5:B8"/>
  </mergeCells>
  <pageMargins left="0.7" right="0.7" top="0.75" bottom="0.75" header="0.3" footer="0.3"/>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00B0F0"/>
  </sheetPr>
  <dimension ref="A1:Z24"/>
  <sheetViews>
    <sheetView workbookViewId="0">
      <selection activeCell="M17" sqref="M17"/>
    </sheetView>
  </sheetViews>
  <sheetFormatPr defaultRowHeight="15" x14ac:dyDescent="0.25"/>
  <cols>
    <col min="1" max="1" width="6.28515625" customWidth="1"/>
    <col min="2" max="2" width="22.5703125" customWidth="1"/>
  </cols>
  <sheetData>
    <row r="1" spans="1:26" ht="15.75" x14ac:dyDescent="0.25">
      <c r="Z1" s="25" t="s">
        <v>772</v>
      </c>
    </row>
    <row r="2" spans="1:26" ht="15.75" x14ac:dyDescent="0.25">
      <c r="A2" s="448" t="s">
        <v>773</v>
      </c>
      <c r="B2" s="448"/>
      <c r="C2" s="448"/>
      <c r="D2" s="448"/>
      <c r="E2" s="448"/>
      <c r="F2" s="448"/>
      <c r="G2" s="448"/>
      <c r="H2" s="448"/>
      <c r="I2" s="448"/>
      <c r="J2" s="448"/>
      <c r="K2" s="448"/>
      <c r="L2" s="448"/>
      <c r="M2" s="448"/>
      <c r="N2" s="448"/>
      <c r="O2" s="448"/>
      <c r="P2" s="448"/>
      <c r="Q2" s="448"/>
      <c r="R2" s="448"/>
      <c r="S2" s="448"/>
      <c r="T2" s="448"/>
      <c r="U2" s="448"/>
      <c r="V2" s="448"/>
      <c r="W2" s="448"/>
      <c r="X2" s="448"/>
      <c r="Y2" s="448"/>
      <c r="Z2" s="448"/>
    </row>
    <row r="3" spans="1:26" ht="15.75" x14ac:dyDescent="0.25">
      <c r="A3" s="448" t="s">
        <v>458</v>
      </c>
      <c r="B3" s="448"/>
      <c r="C3" s="448"/>
      <c r="D3" s="448"/>
      <c r="E3" s="448"/>
      <c r="F3" s="448"/>
      <c r="G3" s="448"/>
      <c r="H3" s="448"/>
      <c r="I3" s="448"/>
      <c r="J3" s="448"/>
      <c r="K3" s="448"/>
      <c r="L3" s="448"/>
      <c r="M3" s="448"/>
      <c r="N3" s="448"/>
      <c r="O3" s="448"/>
      <c r="P3" s="448"/>
      <c r="Q3" s="448"/>
      <c r="R3" s="448"/>
      <c r="S3" s="448"/>
      <c r="T3" s="448"/>
      <c r="U3" s="448"/>
      <c r="V3" s="448"/>
      <c r="W3" s="448"/>
      <c r="X3" s="448"/>
      <c r="Y3" s="448"/>
      <c r="Z3" s="448"/>
    </row>
    <row r="4" spans="1:26" ht="15.75" x14ac:dyDescent="0.25">
      <c r="Z4" s="26" t="s">
        <v>56</v>
      </c>
    </row>
    <row r="5" spans="1:26" ht="15.75" x14ac:dyDescent="0.25">
      <c r="A5" s="449" t="s">
        <v>3</v>
      </c>
      <c r="B5" s="449" t="s">
        <v>468</v>
      </c>
      <c r="C5" s="449" t="s">
        <v>609</v>
      </c>
      <c r="D5" s="449"/>
      <c r="E5" s="449"/>
      <c r="F5" s="449"/>
      <c r="G5" s="449"/>
      <c r="H5" s="449"/>
      <c r="I5" s="449"/>
      <c r="J5" s="449"/>
      <c r="K5" s="449" t="s">
        <v>696</v>
      </c>
      <c r="L5" s="449"/>
      <c r="M5" s="449"/>
      <c r="N5" s="449"/>
      <c r="O5" s="449"/>
      <c r="P5" s="449"/>
      <c r="Q5" s="449"/>
      <c r="R5" s="449"/>
      <c r="S5" s="449" t="s">
        <v>774</v>
      </c>
      <c r="T5" s="449"/>
      <c r="U5" s="449"/>
      <c r="V5" s="449"/>
      <c r="W5" s="449"/>
      <c r="X5" s="449"/>
      <c r="Y5" s="449"/>
      <c r="Z5" s="449"/>
    </row>
    <row r="6" spans="1:26" ht="21" customHeight="1" x14ac:dyDescent="0.25">
      <c r="A6" s="449"/>
      <c r="B6" s="449"/>
      <c r="C6" s="449" t="s">
        <v>130</v>
      </c>
      <c r="D6" s="449" t="s">
        <v>704</v>
      </c>
      <c r="E6" s="449" t="s">
        <v>705</v>
      </c>
      <c r="F6" s="449"/>
      <c r="G6" s="449"/>
      <c r="H6" s="449"/>
      <c r="I6" s="449"/>
      <c r="J6" s="449"/>
      <c r="K6" s="449" t="s">
        <v>130</v>
      </c>
      <c r="L6" s="449" t="s">
        <v>704</v>
      </c>
      <c r="M6" s="449" t="s">
        <v>705</v>
      </c>
      <c r="N6" s="449"/>
      <c r="O6" s="449"/>
      <c r="P6" s="449"/>
      <c r="Q6" s="449"/>
      <c r="R6" s="449"/>
      <c r="S6" s="449" t="s">
        <v>130</v>
      </c>
      <c r="T6" s="449" t="s">
        <v>704</v>
      </c>
      <c r="U6" s="449" t="s">
        <v>705</v>
      </c>
      <c r="V6" s="449"/>
      <c r="W6" s="449"/>
      <c r="X6" s="449"/>
      <c r="Y6" s="449"/>
      <c r="Z6" s="449"/>
    </row>
    <row r="7" spans="1:26" ht="24.75" customHeight="1" x14ac:dyDescent="0.25">
      <c r="A7" s="449"/>
      <c r="B7" s="449"/>
      <c r="C7" s="449"/>
      <c r="D7" s="449"/>
      <c r="E7" s="449" t="s">
        <v>130</v>
      </c>
      <c r="F7" s="449" t="s">
        <v>775</v>
      </c>
      <c r="G7" s="449"/>
      <c r="H7" s="449" t="s">
        <v>776</v>
      </c>
      <c r="I7" s="449" t="s">
        <v>777</v>
      </c>
      <c r="J7" s="449" t="s">
        <v>778</v>
      </c>
      <c r="K7" s="449"/>
      <c r="L7" s="449"/>
      <c r="M7" s="449" t="s">
        <v>130</v>
      </c>
      <c r="N7" s="449" t="s">
        <v>775</v>
      </c>
      <c r="O7" s="449"/>
      <c r="P7" s="449" t="s">
        <v>776</v>
      </c>
      <c r="Q7" s="449" t="s">
        <v>777</v>
      </c>
      <c r="R7" s="449" t="s">
        <v>778</v>
      </c>
      <c r="S7" s="449"/>
      <c r="T7" s="449"/>
      <c r="U7" s="449" t="s">
        <v>130</v>
      </c>
      <c r="V7" s="449" t="s">
        <v>775</v>
      </c>
      <c r="W7" s="449"/>
      <c r="X7" s="449" t="s">
        <v>776</v>
      </c>
      <c r="Y7" s="449" t="s">
        <v>777</v>
      </c>
      <c r="Z7" s="449" t="s">
        <v>778</v>
      </c>
    </row>
    <row r="8" spans="1:26" ht="107.25" customHeight="1" x14ac:dyDescent="0.25">
      <c r="A8" s="449"/>
      <c r="B8" s="449"/>
      <c r="C8" s="449"/>
      <c r="D8" s="449"/>
      <c r="E8" s="449"/>
      <c r="F8" s="29" t="s">
        <v>643</v>
      </c>
      <c r="G8" s="29" t="s">
        <v>135</v>
      </c>
      <c r="H8" s="449"/>
      <c r="I8" s="449"/>
      <c r="J8" s="449"/>
      <c r="K8" s="449"/>
      <c r="L8" s="449"/>
      <c r="M8" s="449"/>
      <c r="N8" s="29" t="s">
        <v>643</v>
      </c>
      <c r="O8" s="29" t="s">
        <v>135</v>
      </c>
      <c r="P8" s="449"/>
      <c r="Q8" s="449"/>
      <c r="R8" s="449"/>
      <c r="S8" s="449"/>
      <c r="T8" s="449"/>
      <c r="U8" s="449"/>
      <c r="V8" s="29" t="s">
        <v>643</v>
      </c>
      <c r="W8" s="29" t="s">
        <v>135</v>
      </c>
      <c r="X8" s="449"/>
      <c r="Y8" s="449"/>
      <c r="Z8" s="449"/>
    </row>
    <row r="9" spans="1:26" s="39" customFormat="1" ht="12.75" x14ac:dyDescent="0.2">
      <c r="A9" s="38" t="s">
        <v>15</v>
      </c>
      <c r="B9" s="38" t="s">
        <v>16</v>
      </c>
      <c r="C9" s="38">
        <v>1</v>
      </c>
      <c r="D9" s="38">
        <v>2</v>
      </c>
      <c r="E9" s="38" t="s">
        <v>779</v>
      </c>
      <c r="F9" s="38">
        <v>4</v>
      </c>
      <c r="G9" s="38">
        <v>5</v>
      </c>
      <c r="H9" s="38">
        <v>6</v>
      </c>
      <c r="I9" s="38">
        <v>7</v>
      </c>
      <c r="J9" s="38">
        <v>8</v>
      </c>
      <c r="K9" s="38">
        <v>9</v>
      </c>
      <c r="L9" s="38">
        <v>10</v>
      </c>
      <c r="M9" s="38" t="s">
        <v>780</v>
      </c>
      <c r="N9" s="38">
        <v>12</v>
      </c>
      <c r="O9" s="38">
        <v>13</v>
      </c>
      <c r="P9" s="38">
        <v>14</v>
      </c>
      <c r="Q9" s="38">
        <v>15</v>
      </c>
      <c r="R9" s="38">
        <v>16</v>
      </c>
      <c r="S9" s="38" t="s">
        <v>781</v>
      </c>
      <c r="T9" s="38" t="s">
        <v>782</v>
      </c>
      <c r="U9" s="38" t="s">
        <v>783</v>
      </c>
      <c r="V9" s="38" t="s">
        <v>784</v>
      </c>
      <c r="W9" s="38" t="s">
        <v>785</v>
      </c>
      <c r="X9" s="38" t="s">
        <v>786</v>
      </c>
      <c r="Y9" s="38" t="s">
        <v>787</v>
      </c>
      <c r="Z9" s="38" t="s">
        <v>788</v>
      </c>
    </row>
    <row r="10" spans="1:26" ht="15.75" x14ac:dyDescent="0.25">
      <c r="A10" s="31"/>
      <c r="B10" s="30" t="s">
        <v>133</v>
      </c>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ht="15.75" x14ac:dyDescent="0.25">
      <c r="A11" s="28">
        <v>1</v>
      </c>
      <c r="B11" s="31" t="s">
        <v>169</v>
      </c>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5.75" x14ac:dyDescent="0.25">
      <c r="A12" s="28">
        <v>2</v>
      </c>
      <c r="B12" s="31" t="s">
        <v>170</v>
      </c>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ht="15.75" x14ac:dyDescent="0.25">
      <c r="A13" s="28">
        <v>3</v>
      </c>
      <c r="B13" s="31" t="s">
        <v>555</v>
      </c>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5.75" x14ac:dyDescent="0.25">
      <c r="A14" s="28">
        <v>4</v>
      </c>
      <c r="B14" s="31" t="s">
        <v>172</v>
      </c>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15.75" x14ac:dyDescent="0.25">
      <c r="A15" s="28">
        <v>5</v>
      </c>
      <c r="B15" s="31" t="s">
        <v>198</v>
      </c>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1:26" ht="15.75" x14ac:dyDescent="0.25">
      <c r="A16" s="28">
        <v>6</v>
      </c>
      <c r="B16" s="31" t="s">
        <v>174</v>
      </c>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5.75" x14ac:dyDescent="0.25">
      <c r="A17" s="28">
        <v>7</v>
      </c>
      <c r="B17" s="31" t="s">
        <v>175</v>
      </c>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5.75" x14ac:dyDescent="0.25">
      <c r="A18" s="28">
        <v>8</v>
      </c>
      <c r="B18" s="31" t="s">
        <v>557</v>
      </c>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5.75" x14ac:dyDescent="0.25">
      <c r="A19" s="28">
        <v>9</v>
      </c>
      <c r="B19" s="31" t="s">
        <v>198</v>
      </c>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5.75" x14ac:dyDescent="0.25">
      <c r="A20" s="28">
        <v>10</v>
      </c>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5.75" x14ac:dyDescent="0.25">
      <c r="A21" s="28">
        <v>11</v>
      </c>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ht="15.75" x14ac:dyDescent="0.25">
      <c r="A22" s="28">
        <v>12</v>
      </c>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5.75" x14ac:dyDescent="0.25">
      <c r="A23" s="28">
        <v>13</v>
      </c>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5.75" x14ac:dyDescent="0.25">
      <c r="A24" s="34" t="s">
        <v>789</v>
      </c>
    </row>
  </sheetData>
  <mergeCells count="31">
    <mergeCell ref="K5:R5"/>
    <mergeCell ref="S5:Z5"/>
    <mergeCell ref="C6:C8"/>
    <mergeCell ref="D6:D8"/>
    <mergeCell ref="E6:J6"/>
    <mergeCell ref="K6:K8"/>
    <mergeCell ref="L6:L8"/>
    <mergeCell ref="F7:G7"/>
    <mergeCell ref="H7:H8"/>
    <mergeCell ref="I7:I8"/>
    <mergeCell ref="J7:J8"/>
    <mergeCell ref="M7:M8"/>
    <mergeCell ref="X7:X8"/>
    <mergeCell ref="Y7:Y8"/>
    <mergeCell ref="Z7:Z8"/>
    <mergeCell ref="A2:Z2"/>
    <mergeCell ref="A3:Z3"/>
    <mergeCell ref="N7:O7"/>
    <mergeCell ref="P7:P8"/>
    <mergeCell ref="Q7:Q8"/>
    <mergeCell ref="R7:R8"/>
    <mergeCell ref="U7:U8"/>
    <mergeCell ref="V7:W7"/>
    <mergeCell ref="M6:R6"/>
    <mergeCell ref="S6:S8"/>
    <mergeCell ref="T6:T8"/>
    <mergeCell ref="U6:Z6"/>
    <mergeCell ref="E7:E8"/>
    <mergeCell ref="A5:A8"/>
    <mergeCell ref="B5:B8"/>
    <mergeCell ref="C5:J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00B050"/>
  </sheetPr>
  <dimension ref="A1:N31"/>
  <sheetViews>
    <sheetView workbookViewId="0">
      <selection activeCell="J8" sqref="J8:J15"/>
    </sheetView>
  </sheetViews>
  <sheetFormatPr defaultColWidth="6" defaultRowHeight="15" x14ac:dyDescent="0.25"/>
  <cols>
    <col min="1" max="1" width="6" style="1"/>
    <col min="2" max="2" width="24.85546875" style="1" bestFit="1" customWidth="1"/>
    <col min="3" max="3" width="9.5703125" style="1" customWidth="1"/>
    <col min="4" max="4" width="9.5703125" style="1" bestFit="1" customWidth="1"/>
    <col min="5" max="6" width="7.5703125" style="1" customWidth="1"/>
    <col min="7" max="8" width="9.5703125" style="1" bestFit="1" customWidth="1"/>
    <col min="9" max="14" width="7.5703125" style="1" customWidth="1"/>
    <col min="15" max="16384" width="6" style="1"/>
  </cols>
  <sheetData>
    <row r="1" spans="1:14" x14ac:dyDescent="0.25">
      <c r="A1" s="422" t="s">
        <v>328</v>
      </c>
      <c r="B1" s="422"/>
      <c r="C1" s="422"/>
      <c r="D1" s="422"/>
      <c r="E1" s="422"/>
      <c r="F1" s="422"/>
      <c r="G1" s="422"/>
      <c r="H1" s="422"/>
      <c r="I1" s="422"/>
      <c r="J1" s="422"/>
      <c r="K1" s="422"/>
      <c r="L1" s="422"/>
      <c r="M1" s="422"/>
      <c r="N1" s="422"/>
    </row>
    <row r="2" spans="1:14" x14ac:dyDescent="0.25">
      <c r="A2" s="423" t="s">
        <v>1279</v>
      </c>
      <c r="B2" s="423"/>
      <c r="C2" s="423"/>
      <c r="D2" s="423"/>
      <c r="E2" s="423"/>
      <c r="F2" s="423"/>
      <c r="G2" s="423"/>
      <c r="H2" s="423"/>
      <c r="I2" s="423"/>
      <c r="J2" s="423"/>
      <c r="K2" s="423"/>
      <c r="L2" s="423"/>
      <c r="M2" s="423"/>
      <c r="N2" s="423"/>
    </row>
    <row r="3" spans="1:14" ht="15.75" x14ac:dyDescent="0.25">
      <c r="A3" s="438" t="s">
        <v>1292</v>
      </c>
      <c r="B3" s="438"/>
      <c r="C3" s="438"/>
      <c r="D3" s="438"/>
      <c r="E3" s="438"/>
      <c r="F3" s="438"/>
      <c r="G3" s="438"/>
      <c r="H3" s="438"/>
      <c r="I3" s="438"/>
      <c r="J3" s="438"/>
      <c r="K3" s="438"/>
      <c r="L3" s="438"/>
      <c r="M3" s="438"/>
      <c r="N3" s="438"/>
    </row>
    <row r="4" spans="1:14" ht="15.75" hidden="1" x14ac:dyDescent="0.25">
      <c r="A4" s="438" t="s">
        <v>1278</v>
      </c>
      <c r="B4" s="438"/>
      <c r="C4" s="438"/>
      <c r="D4" s="438"/>
      <c r="E4" s="438"/>
      <c r="F4" s="438"/>
      <c r="G4" s="438"/>
      <c r="H4" s="438"/>
      <c r="I4" s="438"/>
      <c r="J4" s="438"/>
      <c r="K4" s="438"/>
      <c r="L4" s="438"/>
      <c r="M4" s="438"/>
      <c r="N4" s="438"/>
    </row>
    <row r="5" spans="1:14" ht="15" hidden="1" customHeight="1" x14ac:dyDescent="0.25">
      <c r="A5" s="438" t="s">
        <v>1278</v>
      </c>
      <c r="B5" s="438"/>
      <c r="C5" s="438"/>
      <c r="D5" s="438"/>
      <c r="E5" s="438"/>
      <c r="F5" s="438"/>
      <c r="G5" s="438"/>
      <c r="H5" s="438"/>
      <c r="I5" s="438"/>
      <c r="J5" s="438"/>
      <c r="K5" s="438"/>
      <c r="L5" s="438"/>
      <c r="M5" s="438"/>
      <c r="N5" s="438"/>
    </row>
    <row r="6" spans="1:14" x14ac:dyDescent="0.25">
      <c r="L6" s="424" t="s">
        <v>56</v>
      </c>
      <c r="M6" s="424"/>
      <c r="N6" s="424"/>
    </row>
    <row r="7" spans="1:14" x14ac:dyDescent="0.25">
      <c r="A7" s="421" t="s">
        <v>3</v>
      </c>
      <c r="B7" s="421" t="s">
        <v>468</v>
      </c>
      <c r="C7" s="421" t="s">
        <v>1280</v>
      </c>
      <c r="D7" s="421"/>
      <c r="E7" s="421"/>
      <c r="F7" s="421"/>
      <c r="G7" s="421" t="s">
        <v>1281</v>
      </c>
      <c r="H7" s="421"/>
      <c r="I7" s="421"/>
      <c r="J7" s="421"/>
      <c r="K7" s="421" t="s">
        <v>366</v>
      </c>
      <c r="L7" s="421"/>
      <c r="M7" s="421"/>
      <c r="N7" s="421"/>
    </row>
    <row r="8" spans="1:14" x14ac:dyDescent="0.25">
      <c r="A8" s="421"/>
      <c r="B8" s="421"/>
      <c r="C8" s="421" t="s">
        <v>130</v>
      </c>
      <c r="D8" s="421" t="s">
        <v>469</v>
      </c>
      <c r="E8" s="421"/>
      <c r="F8" s="421"/>
      <c r="G8" s="421" t="s">
        <v>470</v>
      </c>
      <c r="H8" s="421" t="s">
        <v>469</v>
      </c>
      <c r="I8" s="421"/>
      <c r="J8" s="421"/>
      <c r="K8" s="421" t="s">
        <v>130</v>
      </c>
      <c r="L8" s="421" t="s">
        <v>469</v>
      </c>
      <c r="M8" s="421"/>
      <c r="N8" s="421"/>
    </row>
    <row r="9" spans="1:14" ht="86.25" customHeight="1" x14ac:dyDescent="0.25">
      <c r="A9" s="421"/>
      <c r="B9" s="421"/>
      <c r="C9" s="421"/>
      <c r="D9" s="2" t="s">
        <v>65</v>
      </c>
      <c r="E9" s="2" t="s">
        <v>285</v>
      </c>
      <c r="F9" s="2" t="s">
        <v>471</v>
      </c>
      <c r="G9" s="421"/>
      <c r="H9" s="2" t="s">
        <v>65</v>
      </c>
      <c r="I9" s="2" t="s">
        <v>285</v>
      </c>
      <c r="J9" s="2" t="s">
        <v>471</v>
      </c>
      <c r="K9" s="421"/>
      <c r="L9" s="2" t="s">
        <v>65</v>
      </c>
      <c r="M9" s="2" t="s">
        <v>472</v>
      </c>
      <c r="N9" s="2" t="s">
        <v>471</v>
      </c>
    </row>
    <row r="10" spans="1:14" x14ac:dyDescent="0.25">
      <c r="A10" s="3" t="s">
        <v>15</v>
      </c>
      <c r="B10" s="3" t="s">
        <v>16</v>
      </c>
      <c r="C10" s="3">
        <v>1</v>
      </c>
      <c r="D10" s="3">
        <v>2</v>
      </c>
      <c r="E10" s="3">
        <v>3</v>
      </c>
      <c r="F10" s="3">
        <v>4</v>
      </c>
      <c r="G10" s="3">
        <v>5</v>
      </c>
      <c r="H10" s="3">
        <v>6</v>
      </c>
      <c r="I10" s="3">
        <v>7</v>
      </c>
      <c r="J10" s="3">
        <v>8</v>
      </c>
      <c r="K10" s="3" t="s">
        <v>473</v>
      </c>
      <c r="L10" s="3" t="s">
        <v>474</v>
      </c>
      <c r="M10" s="3" t="s">
        <v>475</v>
      </c>
      <c r="N10" s="3" t="s">
        <v>476</v>
      </c>
    </row>
    <row r="11" spans="1:14" x14ac:dyDescent="0.25">
      <c r="A11" s="3"/>
      <c r="B11" s="14" t="s">
        <v>477</v>
      </c>
      <c r="C11" s="80">
        <f>SUM(C12:C27)</f>
        <v>71350</v>
      </c>
      <c r="D11" s="80">
        <f t="shared" ref="D11:F11" si="0">SUM(D12:D27)</f>
        <v>71350</v>
      </c>
      <c r="E11" s="80">
        <f t="shared" si="0"/>
        <v>0</v>
      </c>
      <c r="F11" s="80">
        <f t="shared" si="0"/>
        <v>0</v>
      </c>
      <c r="G11" s="80">
        <f t="shared" ref="G11" si="1">SUM(G12:G27)</f>
        <v>71350</v>
      </c>
      <c r="H11" s="80">
        <f t="shared" ref="H11" si="2">SUM(H12:H27)</f>
        <v>71350</v>
      </c>
      <c r="I11" s="80">
        <f t="shared" ref="I11" si="3">SUM(I12:I27)</f>
        <v>0</v>
      </c>
      <c r="J11" s="80">
        <f t="shared" ref="J11" si="4">SUM(J12:J27)</f>
        <v>0</v>
      </c>
      <c r="K11" s="14">
        <f>G11/C11*100</f>
        <v>100</v>
      </c>
      <c r="L11" s="14">
        <f>H11/D11*100</f>
        <v>100</v>
      </c>
      <c r="M11" s="14"/>
      <c r="N11" s="14"/>
    </row>
    <row r="12" spans="1:14" ht="15.75" x14ac:dyDescent="0.25">
      <c r="A12" s="3">
        <v>1</v>
      </c>
      <c r="B12" s="62" t="s">
        <v>1097</v>
      </c>
      <c r="C12" s="78">
        <f>D12</f>
        <v>43170</v>
      </c>
      <c r="D12" s="78">
        <f>2210+16560+22400+2000</f>
        <v>43170</v>
      </c>
      <c r="E12" s="78"/>
      <c r="F12" s="78"/>
      <c r="G12" s="78">
        <f>H12</f>
        <v>43170</v>
      </c>
      <c r="H12" s="78">
        <f>2210+16560+22400+2000</f>
        <v>43170</v>
      </c>
      <c r="I12" s="78"/>
      <c r="J12" s="78"/>
      <c r="K12" s="4">
        <f>G12/C12*100</f>
        <v>100</v>
      </c>
      <c r="L12" s="4">
        <f>H12/D12*100</f>
        <v>100</v>
      </c>
      <c r="M12" s="4"/>
      <c r="N12" s="4"/>
    </row>
    <row r="13" spans="1:14" ht="15.75" x14ac:dyDescent="0.25">
      <c r="A13" s="3">
        <v>2</v>
      </c>
      <c r="B13" s="62" t="s">
        <v>938</v>
      </c>
      <c r="C13" s="78">
        <f t="shared" ref="C13:C27" si="5">D13</f>
        <v>3830</v>
      </c>
      <c r="D13" s="78">
        <v>3830</v>
      </c>
      <c r="E13" s="78"/>
      <c r="F13" s="78"/>
      <c r="G13" s="78">
        <f t="shared" ref="G13:G27" si="6">H13</f>
        <v>3830</v>
      </c>
      <c r="H13" s="78">
        <v>3830</v>
      </c>
      <c r="I13" s="78"/>
      <c r="J13" s="78"/>
      <c r="K13" s="4">
        <f t="shared" ref="K13:K27" si="7">G13/C13*100</f>
        <v>100</v>
      </c>
      <c r="L13" s="4">
        <f t="shared" ref="L13:L27" si="8">H13/D13*100</f>
        <v>100</v>
      </c>
      <c r="M13" s="4"/>
      <c r="N13" s="4"/>
    </row>
    <row r="14" spans="1:14" ht="15.75" x14ac:dyDescent="0.25">
      <c r="A14" s="3">
        <v>3</v>
      </c>
      <c r="B14" s="62" t="s">
        <v>939</v>
      </c>
      <c r="C14" s="78">
        <f t="shared" si="5"/>
        <v>3025</v>
      </c>
      <c r="D14" s="78">
        <v>3025</v>
      </c>
      <c r="E14" s="78"/>
      <c r="F14" s="78"/>
      <c r="G14" s="78">
        <f t="shared" si="6"/>
        <v>3025</v>
      </c>
      <c r="H14" s="78">
        <v>3025</v>
      </c>
      <c r="I14" s="78"/>
      <c r="J14" s="78"/>
      <c r="K14" s="4">
        <f t="shared" si="7"/>
        <v>100</v>
      </c>
      <c r="L14" s="4">
        <f t="shared" si="8"/>
        <v>100</v>
      </c>
      <c r="M14" s="4"/>
      <c r="N14" s="4"/>
    </row>
    <row r="15" spans="1:14" ht="15.75" x14ac:dyDescent="0.25">
      <c r="A15" s="3">
        <v>4</v>
      </c>
      <c r="B15" s="62" t="s">
        <v>940</v>
      </c>
      <c r="C15" s="78">
        <f t="shared" si="5"/>
        <v>3740</v>
      </c>
      <c r="D15" s="78">
        <v>3740</v>
      </c>
      <c r="E15" s="78"/>
      <c r="F15" s="78"/>
      <c r="G15" s="78">
        <f t="shared" si="6"/>
        <v>3740</v>
      </c>
      <c r="H15" s="78">
        <v>3740</v>
      </c>
      <c r="I15" s="78"/>
      <c r="J15" s="78"/>
      <c r="K15" s="4">
        <f t="shared" si="7"/>
        <v>100</v>
      </c>
      <c r="L15" s="4">
        <f t="shared" si="8"/>
        <v>100</v>
      </c>
      <c r="M15" s="4"/>
      <c r="N15" s="4"/>
    </row>
    <row r="16" spans="1:14" ht="15.75" x14ac:dyDescent="0.25">
      <c r="A16" s="3">
        <v>5</v>
      </c>
      <c r="B16" s="62" t="s">
        <v>941</v>
      </c>
      <c r="C16" s="78">
        <f t="shared" si="5"/>
        <v>3020</v>
      </c>
      <c r="D16" s="78">
        <v>3020</v>
      </c>
      <c r="E16" s="78"/>
      <c r="F16" s="78"/>
      <c r="G16" s="78">
        <f t="shared" si="6"/>
        <v>3020</v>
      </c>
      <c r="H16" s="78">
        <v>3020</v>
      </c>
      <c r="I16" s="78"/>
      <c r="J16" s="78"/>
      <c r="K16" s="4">
        <f t="shared" si="7"/>
        <v>100</v>
      </c>
      <c r="L16" s="4">
        <f t="shared" si="8"/>
        <v>100</v>
      </c>
      <c r="M16" s="4"/>
      <c r="N16" s="4"/>
    </row>
    <row r="17" spans="1:14" ht="15.75" x14ac:dyDescent="0.25">
      <c r="A17" s="3">
        <v>6</v>
      </c>
      <c r="B17" s="62" t="s">
        <v>942</v>
      </c>
      <c r="C17" s="78">
        <f t="shared" si="5"/>
        <v>2665</v>
      </c>
      <c r="D17" s="78">
        <v>2665</v>
      </c>
      <c r="E17" s="78"/>
      <c r="F17" s="78"/>
      <c r="G17" s="78">
        <f t="shared" si="6"/>
        <v>2665</v>
      </c>
      <c r="H17" s="78">
        <v>2665</v>
      </c>
      <c r="I17" s="78"/>
      <c r="J17" s="78"/>
      <c r="K17" s="4">
        <f t="shared" si="7"/>
        <v>100</v>
      </c>
      <c r="L17" s="4">
        <f t="shared" si="8"/>
        <v>100</v>
      </c>
      <c r="M17" s="4"/>
      <c r="N17" s="4"/>
    </row>
    <row r="18" spans="1:14" ht="15.75" x14ac:dyDescent="0.25">
      <c r="A18" s="3">
        <v>7</v>
      </c>
      <c r="B18" s="62" t="s">
        <v>943</v>
      </c>
      <c r="C18" s="78">
        <f t="shared" si="5"/>
        <v>1980</v>
      </c>
      <c r="D18" s="78">
        <v>1980</v>
      </c>
      <c r="E18" s="78"/>
      <c r="F18" s="78"/>
      <c r="G18" s="78">
        <f t="shared" si="6"/>
        <v>1980</v>
      </c>
      <c r="H18" s="78">
        <v>1980</v>
      </c>
      <c r="I18" s="78"/>
      <c r="J18" s="78"/>
      <c r="K18" s="4">
        <f t="shared" si="7"/>
        <v>100</v>
      </c>
      <c r="L18" s="4">
        <f t="shared" si="8"/>
        <v>100</v>
      </c>
      <c r="M18" s="4"/>
      <c r="N18" s="4"/>
    </row>
    <row r="19" spans="1:14" ht="15.75" x14ac:dyDescent="0.25">
      <c r="A19" s="3">
        <v>8</v>
      </c>
      <c r="B19" s="62" t="s">
        <v>944</v>
      </c>
      <c r="C19" s="78">
        <f t="shared" si="5"/>
        <v>225</v>
      </c>
      <c r="D19" s="78">
        <v>225</v>
      </c>
      <c r="E19" s="78"/>
      <c r="F19" s="78"/>
      <c r="G19" s="78">
        <f t="shared" si="6"/>
        <v>225</v>
      </c>
      <c r="H19" s="78">
        <v>225</v>
      </c>
      <c r="I19" s="78"/>
      <c r="J19" s="78"/>
      <c r="K19" s="4">
        <f t="shared" si="7"/>
        <v>100</v>
      </c>
      <c r="L19" s="4">
        <f t="shared" si="8"/>
        <v>100</v>
      </c>
      <c r="M19" s="4"/>
      <c r="N19" s="4"/>
    </row>
    <row r="20" spans="1:14" ht="15.75" x14ac:dyDescent="0.25">
      <c r="A20" s="3">
        <v>9</v>
      </c>
      <c r="B20" s="62" t="s">
        <v>945</v>
      </c>
      <c r="C20" s="78">
        <f t="shared" si="5"/>
        <v>1070</v>
      </c>
      <c r="D20" s="78">
        <v>1070</v>
      </c>
      <c r="E20" s="78"/>
      <c r="F20" s="78"/>
      <c r="G20" s="78">
        <f t="shared" si="6"/>
        <v>1070</v>
      </c>
      <c r="H20" s="78">
        <v>1070</v>
      </c>
      <c r="I20" s="78"/>
      <c r="J20" s="78"/>
      <c r="K20" s="4">
        <f t="shared" si="7"/>
        <v>100</v>
      </c>
      <c r="L20" s="4">
        <f t="shared" si="8"/>
        <v>100</v>
      </c>
      <c r="M20" s="4"/>
      <c r="N20" s="4"/>
    </row>
    <row r="21" spans="1:14" ht="15.75" x14ac:dyDescent="0.25">
      <c r="A21" s="3">
        <v>10</v>
      </c>
      <c r="B21" s="62" t="s">
        <v>946</v>
      </c>
      <c r="C21" s="78">
        <f t="shared" si="5"/>
        <v>1450</v>
      </c>
      <c r="D21" s="78">
        <v>1450</v>
      </c>
      <c r="E21" s="78"/>
      <c r="F21" s="78"/>
      <c r="G21" s="78">
        <f t="shared" si="6"/>
        <v>1450</v>
      </c>
      <c r="H21" s="78">
        <v>1450</v>
      </c>
      <c r="I21" s="78"/>
      <c r="J21" s="78"/>
      <c r="K21" s="4">
        <f t="shared" si="7"/>
        <v>100</v>
      </c>
      <c r="L21" s="4">
        <f t="shared" si="8"/>
        <v>100</v>
      </c>
      <c r="M21" s="4"/>
      <c r="N21" s="4"/>
    </row>
    <row r="22" spans="1:14" ht="15.75" x14ac:dyDescent="0.25">
      <c r="A22" s="3">
        <v>11</v>
      </c>
      <c r="B22" s="62" t="s">
        <v>1228</v>
      </c>
      <c r="C22" s="78">
        <f t="shared" si="5"/>
        <v>690</v>
      </c>
      <c r="D22" s="78">
        <v>690</v>
      </c>
      <c r="E22" s="78"/>
      <c r="F22" s="78"/>
      <c r="G22" s="78">
        <f t="shared" si="6"/>
        <v>690</v>
      </c>
      <c r="H22" s="78">
        <v>690</v>
      </c>
      <c r="I22" s="78"/>
      <c r="J22" s="78"/>
      <c r="K22" s="4">
        <f t="shared" si="7"/>
        <v>100</v>
      </c>
      <c r="L22" s="4">
        <f t="shared" si="8"/>
        <v>100</v>
      </c>
      <c r="M22" s="4"/>
      <c r="N22" s="4"/>
    </row>
    <row r="23" spans="1:14" ht="15.75" x14ac:dyDescent="0.25">
      <c r="A23" s="3">
        <v>12</v>
      </c>
      <c r="B23" s="62" t="s">
        <v>947</v>
      </c>
      <c r="C23" s="78">
        <f t="shared" si="5"/>
        <v>690</v>
      </c>
      <c r="D23" s="78">
        <v>690</v>
      </c>
      <c r="E23" s="78"/>
      <c r="F23" s="78"/>
      <c r="G23" s="78">
        <f t="shared" si="6"/>
        <v>690</v>
      </c>
      <c r="H23" s="78">
        <v>690</v>
      </c>
      <c r="I23" s="78"/>
      <c r="J23" s="78"/>
      <c r="K23" s="4">
        <f t="shared" si="7"/>
        <v>100</v>
      </c>
      <c r="L23" s="4">
        <f t="shared" si="8"/>
        <v>100</v>
      </c>
      <c r="M23" s="4"/>
      <c r="N23" s="4"/>
    </row>
    <row r="24" spans="1:14" ht="15.75" x14ac:dyDescent="0.25">
      <c r="A24" s="3">
        <v>13</v>
      </c>
      <c r="B24" s="62" t="s">
        <v>948</v>
      </c>
      <c r="C24" s="78">
        <f t="shared" si="5"/>
        <v>1675</v>
      </c>
      <c r="D24" s="78">
        <v>1675</v>
      </c>
      <c r="E24" s="78"/>
      <c r="F24" s="78"/>
      <c r="G24" s="78">
        <f t="shared" si="6"/>
        <v>1675</v>
      </c>
      <c r="H24" s="78">
        <v>1675</v>
      </c>
      <c r="I24" s="78"/>
      <c r="J24" s="78"/>
      <c r="K24" s="4">
        <f t="shared" si="7"/>
        <v>100</v>
      </c>
      <c r="L24" s="4">
        <f t="shared" si="8"/>
        <v>100</v>
      </c>
      <c r="M24" s="4"/>
      <c r="N24" s="4"/>
    </row>
    <row r="25" spans="1:14" ht="15.75" x14ac:dyDescent="0.25">
      <c r="A25" s="3">
        <v>14</v>
      </c>
      <c r="B25" s="62" t="s">
        <v>949</v>
      </c>
      <c r="C25" s="78">
        <f t="shared" si="5"/>
        <v>1655</v>
      </c>
      <c r="D25" s="78">
        <v>1655</v>
      </c>
      <c r="E25" s="78"/>
      <c r="F25" s="78"/>
      <c r="G25" s="78">
        <f t="shared" si="6"/>
        <v>1655</v>
      </c>
      <c r="H25" s="78">
        <v>1655</v>
      </c>
      <c r="I25" s="78"/>
      <c r="J25" s="78"/>
      <c r="K25" s="4">
        <f t="shared" si="7"/>
        <v>100</v>
      </c>
      <c r="L25" s="4">
        <f t="shared" si="8"/>
        <v>100</v>
      </c>
      <c r="M25" s="4"/>
      <c r="N25" s="4"/>
    </row>
    <row r="26" spans="1:14" ht="15.75" x14ac:dyDescent="0.25">
      <c r="A26" s="3">
        <v>15</v>
      </c>
      <c r="B26" s="62" t="s">
        <v>950</v>
      </c>
      <c r="C26" s="78">
        <f t="shared" si="5"/>
        <v>1835</v>
      </c>
      <c r="D26" s="78">
        <v>1835</v>
      </c>
      <c r="E26" s="78"/>
      <c r="F26" s="78"/>
      <c r="G26" s="78">
        <f t="shared" si="6"/>
        <v>1835</v>
      </c>
      <c r="H26" s="78">
        <v>1835</v>
      </c>
      <c r="I26" s="78"/>
      <c r="J26" s="78"/>
      <c r="K26" s="4">
        <f t="shared" si="7"/>
        <v>100</v>
      </c>
      <c r="L26" s="4">
        <f t="shared" si="8"/>
        <v>100</v>
      </c>
      <c r="M26" s="4"/>
      <c r="N26" s="4"/>
    </row>
    <row r="27" spans="1:14" ht="15.75" x14ac:dyDescent="0.25">
      <c r="A27" s="3">
        <v>16</v>
      </c>
      <c r="B27" s="62" t="s">
        <v>951</v>
      </c>
      <c r="C27" s="78">
        <f t="shared" si="5"/>
        <v>630</v>
      </c>
      <c r="D27" s="78">
        <v>630</v>
      </c>
      <c r="E27" s="78"/>
      <c r="F27" s="78"/>
      <c r="G27" s="78">
        <f t="shared" si="6"/>
        <v>630</v>
      </c>
      <c r="H27" s="78">
        <v>630</v>
      </c>
      <c r="I27" s="78"/>
      <c r="J27" s="78"/>
      <c r="K27" s="4">
        <f t="shared" si="7"/>
        <v>100</v>
      </c>
      <c r="L27" s="4">
        <f t="shared" si="8"/>
        <v>100</v>
      </c>
      <c r="M27" s="4"/>
      <c r="N27" s="4"/>
    </row>
    <row r="29" spans="1:14" x14ac:dyDescent="0.25">
      <c r="A29" s="15" t="s">
        <v>480</v>
      </c>
      <c r="C29" s="79"/>
    </row>
    <row r="30" spans="1:14" s="16" customFormat="1" x14ac:dyDescent="0.25">
      <c r="A30" s="425" t="s">
        <v>481</v>
      </c>
      <c r="B30" s="425"/>
      <c r="C30" s="425"/>
      <c r="D30" s="425"/>
      <c r="E30" s="425"/>
      <c r="F30" s="425"/>
      <c r="G30" s="425"/>
      <c r="H30" s="425"/>
      <c r="I30" s="425"/>
      <c r="J30" s="425"/>
      <c r="K30" s="425"/>
      <c r="L30" s="425"/>
      <c r="M30" s="425"/>
      <c r="N30" s="425"/>
    </row>
    <row r="31" spans="1:14" s="16" customFormat="1" x14ac:dyDescent="0.25">
      <c r="A31" s="440" t="s">
        <v>479</v>
      </c>
      <c r="B31" s="440"/>
      <c r="C31" s="440"/>
      <c r="D31" s="440"/>
      <c r="E31" s="440"/>
      <c r="F31" s="440"/>
      <c r="G31" s="440"/>
      <c r="H31" s="440"/>
      <c r="I31" s="440"/>
      <c r="J31" s="440"/>
      <c r="K31" s="440"/>
      <c r="L31" s="440"/>
      <c r="M31" s="440"/>
      <c r="N31" s="440"/>
    </row>
  </sheetData>
  <mergeCells count="19">
    <mergeCell ref="A30:N30"/>
    <mergeCell ref="A31:N31"/>
    <mergeCell ref="A1:N1"/>
    <mergeCell ref="A2:N2"/>
    <mergeCell ref="L6:N6"/>
    <mergeCell ref="L8:N8"/>
    <mergeCell ref="A7:A9"/>
    <mergeCell ref="B7:B9"/>
    <mergeCell ref="C7:F7"/>
    <mergeCell ref="G7:J7"/>
    <mergeCell ref="K7:N7"/>
    <mergeCell ref="C8:C9"/>
    <mergeCell ref="D8:F8"/>
    <mergeCell ref="G8:G9"/>
    <mergeCell ref="H8:J8"/>
    <mergeCell ref="K8:K9"/>
    <mergeCell ref="A5:N5"/>
    <mergeCell ref="A3:N3"/>
    <mergeCell ref="A4:N4"/>
  </mergeCells>
  <printOptions horizontalCentered="1"/>
  <pageMargins left="0.36811023599999998" right="0.25" top="0.15748031496063" bottom="0.15748031496063" header="0.31496062992126" footer="0.31496062992126"/>
  <pageSetup paperSize="9" orientation="landscape" verticalDpi="0"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rgb="FF00B0F0"/>
  </sheetPr>
  <dimension ref="A1:H24"/>
  <sheetViews>
    <sheetView workbookViewId="0">
      <selection activeCell="M17" sqref="M17"/>
    </sheetView>
  </sheetViews>
  <sheetFormatPr defaultRowHeight="15" x14ac:dyDescent="0.25"/>
  <cols>
    <col min="1" max="1" width="6.28515625" customWidth="1"/>
    <col min="2" max="2" width="25.5703125" customWidth="1"/>
    <col min="3" max="8" width="10" customWidth="1"/>
  </cols>
  <sheetData>
    <row r="1" spans="1:8" ht="15.75" x14ac:dyDescent="0.25">
      <c r="H1" s="25" t="s">
        <v>790</v>
      </c>
    </row>
    <row r="2" spans="1:8" ht="15.75" x14ac:dyDescent="0.25">
      <c r="A2" s="448" t="s">
        <v>791</v>
      </c>
      <c r="B2" s="448"/>
      <c r="C2" s="448"/>
      <c r="D2" s="448"/>
      <c r="E2" s="448"/>
      <c r="F2" s="448"/>
      <c r="G2" s="448"/>
      <c r="H2" s="448"/>
    </row>
    <row r="3" spans="1:8" ht="15.75" x14ac:dyDescent="0.25">
      <c r="A3" s="448" t="s">
        <v>458</v>
      </c>
      <c r="B3" s="448"/>
      <c r="C3" s="448"/>
      <c r="D3" s="448"/>
      <c r="E3" s="448"/>
      <c r="F3" s="448"/>
      <c r="G3" s="448"/>
      <c r="H3" s="448"/>
    </row>
    <row r="4" spans="1:8" ht="15.75" x14ac:dyDescent="0.25">
      <c r="H4" s="26" t="s">
        <v>56</v>
      </c>
    </row>
    <row r="5" spans="1:8" ht="15.75" x14ac:dyDescent="0.25">
      <c r="A5" s="449" t="s">
        <v>3</v>
      </c>
      <c r="B5" s="449" t="s">
        <v>161</v>
      </c>
      <c r="C5" s="449" t="s">
        <v>792</v>
      </c>
      <c r="D5" s="449" t="s">
        <v>162</v>
      </c>
      <c r="E5" s="449"/>
      <c r="F5" s="449"/>
      <c r="G5" s="449"/>
      <c r="H5" s="449"/>
    </row>
    <row r="6" spans="1:8" ht="110.25" x14ac:dyDescent="0.25">
      <c r="A6" s="449"/>
      <c r="B6" s="449"/>
      <c r="C6" s="449"/>
      <c r="D6" s="29" t="s">
        <v>793</v>
      </c>
      <c r="E6" s="29" t="s">
        <v>656</v>
      </c>
      <c r="F6" s="29" t="s">
        <v>657</v>
      </c>
      <c r="G6" s="29" t="s">
        <v>243</v>
      </c>
      <c r="H6" s="29" t="s">
        <v>794</v>
      </c>
    </row>
    <row r="7" spans="1:8" ht="15.75" x14ac:dyDescent="0.25">
      <c r="A7" s="29" t="s">
        <v>15</v>
      </c>
      <c r="B7" s="29" t="s">
        <v>16</v>
      </c>
      <c r="C7" s="29">
        <v>1</v>
      </c>
      <c r="D7" s="29">
        <v>2</v>
      </c>
      <c r="E7" s="29">
        <v>3</v>
      </c>
      <c r="F7" s="29">
        <v>4</v>
      </c>
      <c r="G7" s="29">
        <v>5</v>
      </c>
      <c r="H7" s="29">
        <v>6</v>
      </c>
    </row>
    <row r="8" spans="1:8" ht="15.75" x14ac:dyDescent="0.25">
      <c r="A8" s="29"/>
      <c r="B8" s="30" t="s">
        <v>133</v>
      </c>
      <c r="C8" s="29"/>
      <c r="D8" s="29"/>
      <c r="E8" s="29"/>
      <c r="F8" s="29"/>
      <c r="G8" s="29"/>
      <c r="H8" s="29"/>
    </row>
    <row r="9" spans="1:8" ht="15.75" x14ac:dyDescent="0.25">
      <c r="A9" s="28">
        <v>1</v>
      </c>
      <c r="B9" s="31" t="s">
        <v>169</v>
      </c>
      <c r="C9" s="28"/>
      <c r="D9" s="28"/>
      <c r="E9" s="28"/>
      <c r="F9" s="28"/>
      <c r="G9" s="28"/>
      <c r="H9" s="28"/>
    </row>
    <row r="10" spans="1:8" ht="15.75" x14ac:dyDescent="0.25">
      <c r="A10" s="28">
        <v>2</v>
      </c>
      <c r="B10" s="31" t="s">
        <v>170</v>
      </c>
      <c r="C10" s="28"/>
      <c r="D10" s="28"/>
      <c r="E10" s="28"/>
      <c r="F10" s="28"/>
      <c r="G10" s="28"/>
      <c r="H10" s="28"/>
    </row>
    <row r="11" spans="1:8" ht="15.75" x14ac:dyDescent="0.25">
      <c r="A11" s="28">
        <v>3</v>
      </c>
      <c r="B11" s="31" t="s">
        <v>555</v>
      </c>
      <c r="C11" s="28"/>
      <c r="D11" s="28"/>
      <c r="E11" s="28"/>
      <c r="F11" s="28"/>
      <c r="G11" s="28"/>
      <c r="H11" s="28"/>
    </row>
    <row r="12" spans="1:8" ht="15.75" x14ac:dyDescent="0.25">
      <c r="A12" s="28">
        <v>4</v>
      </c>
      <c r="B12" s="31" t="s">
        <v>172</v>
      </c>
      <c r="C12" s="28"/>
      <c r="D12" s="28"/>
      <c r="E12" s="28"/>
      <c r="F12" s="28"/>
      <c r="G12" s="28"/>
      <c r="H12" s="28"/>
    </row>
    <row r="13" spans="1:8" ht="15.75" x14ac:dyDescent="0.25">
      <c r="A13" s="28">
        <v>5</v>
      </c>
      <c r="B13" s="31" t="s">
        <v>522</v>
      </c>
      <c r="C13" s="28"/>
      <c r="D13" s="28"/>
      <c r="E13" s="28"/>
      <c r="F13" s="28"/>
      <c r="G13" s="28"/>
      <c r="H13" s="28"/>
    </row>
    <row r="14" spans="1:8" ht="15.75" x14ac:dyDescent="0.25">
      <c r="A14" s="28">
        <v>6</v>
      </c>
      <c r="B14" s="31" t="s">
        <v>174</v>
      </c>
      <c r="C14" s="28"/>
      <c r="D14" s="28"/>
      <c r="E14" s="28"/>
      <c r="F14" s="28"/>
      <c r="G14" s="28"/>
      <c r="H14" s="28"/>
    </row>
    <row r="15" spans="1:8" ht="15.75" x14ac:dyDescent="0.25">
      <c r="A15" s="28">
        <v>7</v>
      </c>
      <c r="B15" s="31" t="s">
        <v>175</v>
      </c>
      <c r="C15" s="28"/>
      <c r="D15" s="28"/>
      <c r="E15" s="28"/>
      <c r="F15" s="28"/>
      <c r="G15" s="28"/>
      <c r="H15" s="28"/>
    </row>
    <row r="16" spans="1:8" ht="15.75" x14ac:dyDescent="0.25">
      <c r="A16" s="28">
        <v>8</v>
      </c>
      <c r="B16" s="31" t="s">
        <v>557</v>
      </c>
      <c r="C16" s="28"/>
      <c r="D16" s="28"/>
      <c r="E16" s="28"/>
      <c r="F16" s="28"/>
      <c r="G16" s="28"/>
      <c r="H16" s="28"/>
    </row>
    <row r="17" spans="1:8" ht="15.75" x14ac:dyDescent="0.25">
      <c r="A17" s="28">
        <v>9</v>
      </c>
      <c r="B17" s="31" t="s">
        <v>51</v>
      </c>
      <c r="C17" s="28"/>
      <c r="D17" s="28"/>
      <c r="E17" s="28"/>
      <c r="F17" s="28"/>
      <c r="G17" s="28"/>
      <c r="H17" s="28"/>
    </row>
    <row r="18" spans="1:8" ht="15.75" x14ac:dyDescent="0.25">
      <c r="A18" s="28">
        <v>10</v>
      </c>
      <c r="B18" s="31"/>
      <c r="C18" s="28"/>
      <c r="D18" s="28"/>
      <c r="E18" s="28"/>
      <c r="F18" s="28"/>
      <c r="G18" s="28"/>
      <c r="H18" s="28"/>
    </row>
    <row r="19" spans="1:8" ht="15.75" x14ac:dyDescent="0.25">
      <c r="A19" s="28">
        <v>11</v>
      </c>
      <c r="B19" s="31"/>
      <c r="C19" s="28"/>
      <c r="D19" s="28"/>
      <c r="E19" s="28"/>
      <c r="F19" s="28"/>
      <c r="G19" s="28"/>
      <c r="H19" s="28"/>
    </row>
    <row r="20" spans="1:8" ht="15.75" x14ac:dyDescent="0.25">
      <c r="A20" s="28">
        <v>12</v>
      </c>
      <c r="B20" s="31"/>
      <c r="C20" s="28"/>
      <c r="D20" s="28"/>
      <c r="E20" s="28"/>
      <c r="F20" s="28"/>
      <c r="G20" s="28"/>
      <c r="H20" s="28"/>
    </row>
    <row r="21" spans="1:8" ht="15.75" x14ac:dyDescent="0.25">
      <c r="A21" s="28">
        <v>13</v>
      </c>
      <c r="B21" s="31"/>
      <c r="C21" s="28"/>
      <c r="D21" s="28"/>
      <c r="E21" s="28"/>
      <c r="F21" s="28"/>
      <c r="G21" s="28"/>
      <c r="H21" s="28"/>
    </row>
    <row r="22" spans="1:8" ht="15.75" x14ac:dyDescent="0.25">
      <c r="A22" s="28">
        <v>14</v>
      </c>
      <c r="B22" s="31"/>
      <c r="C22" s="28"/>
      <c r="D22" s="28"/>
      <c r="E22" s="28"/>
      <c r="F22" s="28"/>
      <c r="G22" s="28"/>
      <c r="H22" s="28"/>
    </row>
    <row r="23" spans="1:8" ht="15.75" x14ac:dyDescent="0.25">
      <c r="A23" s="28">
        <v>15</v>
      </c>
      <c r="B23" s="31"/>
      <c r="C23" s="28"/>
      <c r="D23" s="28"/>
      <c r="E23" s="28"/>
      <c r="F23" s="28"/>
      <c r="G23" s="28"/>
      <c r="H23" s="28"/>
    </row>
    <row r="24" spans="1:8" ht="15.75" x14ac:dyDescent="0.25">
      <c r="A24" s="28">
        <v>16</v>
      </c>
      <c r="B24" s="31"/>
      <c r="C24" s="28"/>
      <c r="D24" s="28"/>
      <c r="E24" s="28"/>
      <c r="F24" s="28"/>
      <c r="G24" s="28"/>
      <c r="H24" s="28"/>
    </row>
  </sheetData>
  <mergeCells count="6">
    <mergeCell ref="A5:A6"/>
    <mergeCell ref="B5:B6"/>
    <mergeCell ref="C5:C6"/>
    <mergeCell ref="D5:H5"/>
    <mergeCell ref="A2:H2"/>
    <mergeCell ref="A3:H3"/>
  </mergeCells>
  <pageMargins left="0.7" right="0.7" top="0.75" bottom="0.75" header="0.3" footer="0.3"/>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00B0F0"/>
  </sheetPr>
  <dimension ref="A1:U27"/>
  <sheetViews>
    <sheetView workbookViewId="0">
      <selection activeCell="M17" sqref="M17"/>
    </sheetView>
  </sheetViews>
  <sheetFormatPr defaultRowHeight="15" x14ac:dyDescent="0.25"/>
  <cols>
    <col min="1" max="1" width="6.28515625" customWidth="1"/>
    <col min="2" max="2" width="32.42578125" customWidth="1"/>
  </cols>
  <sheetData>
    <row r="1" spans="1:21" ht="15.75" x14ac:dyDescent="0.25">
      <c r="U1" s="25" t="s">
        <v>795</v>
      </c>
    </row>
    <row r="2" spans="1:21" ht="15.75" x14ac:dyDescent="0.25">
      <c r="A2" s="448" t="s">
        <v>796</v>
      </c>
      <c r="B2" s="448"/>
      <c r="C2" s="448"/>
      <c r="D2" s="448"/>
      <c r="E2" s="448"/>
      <c r="F2" s="448"/>
      <c r="G2" s="448"/>
      <c r="H2" s="448"/>
      <c r="I2" s="448"/>
      <c r="J2" s="448"/>
      <c r="K2" s="448"/>
      <c r="L2" s="448"/>
      <c r="M2" s="448"/>
      <c r="N2" s="448"/>
      <c r="O2" s="448"/>
      <c r="P2" s="448"/>
      <c r="Q2" s="448"/>
      <c r="R2" s="448"/>
      <c r="S2" s="448"/>
      <c r="T2" s="448"/>
      <c r="U2" s="448"/>
    </row>
    <row r="3" spans="1:21" ht="15.75" x14ac:dyDescent="0.25">
      <c r="A3" s="448" t="s">
        <v>126</v>
      </c>
      <c r="B3" s="448"/>
      <c r="C3" s="448"/>
      <c r="D3" s="448"/>
      <c r="E3" s="448"/>
      <c r="F3" s="448"/>
      <c r="G3" s="448"/>
      <c r="H3" s="448"/>
      <c r="I3" s="448"/>
      <c r="J3" s="448"/>
      <c r="K3" s="448"/>
      <c r="L3" s="448"/>
      <c r="M3" s="448"/>
      <c r="N3" s="448"/>
      <c r="O3" s="448"/>
      <c r="P3" s="448"/>
      <c r="Q3" s="448"/>
      <c r="R3" s="448"/>
      <c r="S3" s="448"/>
      <c r="T3" s="448"/>
      <c r="U3" s="448"/>
    </row>
    <row r="4" spans="1:21" ht="15.75" x14ac:dyDescent="0.25">
      <c r="U4" s="26" t="s">
        <v>56</v>
      </c>
    </row>
    <row r="5" spans="1:21" ht="15.75" x14ac:dyDescent="0.25">
      <c r="A5" s="449" t="s">
        <v>3</v>
      </c>
      <c r="B5" s="449" t="s">
        <v>355</v>
      </c>
      <c r="C5" s="449" t="s">
        <v>609</v>
      </c>
      <c r="D5" s="449"/>
      <c r="E5" s="449"/>
      <c r="F5" s="449"/>
      <c r="G5" s="449" t="s">
        <v>696</v>
      </c>
      <c r="H5" s="449"/>
      <c r="I5" s="449"/>
      <c r="J5" s="449"/>
      <c r="K5" s="449"/>
      <c r="L5" s="449"/>
      <c r="M5" s="449"/>
      <c r="N5" s="449"/>
      <c r="O5" s="449"/>
      <c r="P5" s="449"/>
      <c r="Q5" s="449"/>
      <c r="R5" s="449" t="s">
        <v>366</v>
      </c>
      <c r="S5" s="449"/>
      <c r="T5" s="449"/>
      <c r="U5" s="449"/>
    </row>
    <row r="6" spans="1:21" ht="15.75" x14ac:dyDescent="0.25">
      <c r="A6" s="449"/>
      <c r="B6" s="449"/>
      <c r="C6" s="449" t="s">
        <v>130</v>
      </c>
      <c r="D6" s="449" t="s">
        <v>162</v>
      </c>
      <c r="E6" s="449"/>
      <c r="F6" s="449" t="s">
        <v>150</v>
      </c>
      <c r="G6" s="449" t="s">
        <v>130</v>
      </c>
      <c r="H6" s="449" t="s">
        <v>162</v>
      </c>
      <c r="I6" s="449"/>
      <c r="J6" s="449" t="s">
        <v>797</v>
      </c>
      <c r="K6" s="449"/>
      <c r="L6" s="449"/>
      <c r="M6" s="449"/>
      <c r="N6" s="449"/>
      <c r="O6" s="449"/>
      <c r="P6" s="449"/>
      <c r="Q6" s="449" t="s">
        <v>150</v>
      </c>
      <c r="R6" s="449" t="s">
        <v>130</v>
      </c>
      <c r="S6" s="449" t="s">
        <v>162</v>
      </c>
      <c r="T6" s="449"/>
      <c r="U6" s="449" t="s">
        <v>150</v>
      </c>
    </row>
    <row r="7" spans="1:21" ht="15.75" x14ac:dyDescent="0.25">
      <c r="A7" s="449"/>
      <c r="B7" s="449"/>
      <c r="C7" s="449"/>
      <c r="D7" s="449" t="s">
        <v>641</v>
      </c>
      <c r="E7" s="449" t="s">
        <v>642</v>
      </c>
      <c r="F7" s="449"/>
      <c r="G7" s="449"/>
      <c r="H7" s="449" t="s">
        <v>641</v>
      </c>
      <c r="I7" s="449" t="s">
        <v>642</v>
      </c>
      <c r="J7" s="449" t="s">
        <v>130</v>
      </c>
      <c r="K7" s="449" t="s">
        <v>363</v>
      </c>
      <c r="L7" s="449"/>
      <c r="M7" s="449"/>
      <c r="N7" s="449" t="s">
        <v>642</v>
      </c>
      <c r="O7" s="449"/>
      <c r="P7" s="449"/>
      <c r="Q7" s="449"/>
      <c r="R7" s="449"/>
      <c r="S7" s="449" t="s">
        <v>363</v>
      </c>
      <c r="T7" s="449" t="s">
        <v>96</v>
      </c>
      <c r="U7" s="449"/>
    </row>
    <row r="8" spans="1:21" ht="15.75" x14ac:dyDescent="0.25">
      <c r="A8" s="449"/>
      <c r="B8" s="449"/>
      <c r="C8" s="449"/>
      <c r="D8" s="449"/>
      <c r="E8" s="449"/>
      <c r="F8" s="449"/>
      <c r="G8" s="449"/>
      <c r="H8" s="449"/>
      <c r="I8" s="449"/>
      <c r="J8" s="449"/>
      <c r="K8" s="449" t="s">
        <v>130</v>
      </c>
      <c r="L8" s="449" t="s">
        <v>655</v>
      </c>
      <c r="M8" s="449"/>
      <c r="N8" s="449" t="s">
        <v>130</v>
      </c>
      <c r="O8" s="449" t="s">
        <v>655</v>
      </c>
      <c r="P8" s="449"/>
      <c r="Q8" s="449"/>
      <c r="R8" s="449"/>
      <c r="S8" s="449"/>
      <c r="T8" s="449"/>
      <c r="U8" s="449"/>
    </row>
    <row r="9" spans="1:21" ht="47.25" x14ac:dyDescent="0.25">
      <c r="A9" s="449"/>
      <c r="B9" s="449"/>
      <c r="C9" s="449"/>
      <c r="D9" s="449"/>
      <c r="E9" s="449"/>
      <c r="F9" s="449"/>
      <c r="G9" s="449"/>
      <c r="H9" s="449"/>
      <c r="I9" s="449"/>
      <c r="J9" s="449"/>
      <c r="K9" s="449"/>
      <c r="L9" s="29" t="s">
        <v>135</v>
      </c>
      <c r="M9" s="29" t="s">
        <v>643</v>
      </c>
      <c r="N9" s="449"/>
      <c r="O9" s="29" t="s">
        <v>135</v>
      </c>
      <c r="P9" s="29" t="s">
        <v>643</v>
      </c>
      <c r="Q9" s="449"/>
      <c r="R9" s="449"/>
      <c r="S9" s="449"/>
      <c r="T9" s="449"/>
      <c r="U9" s="449"/>
    </row>
    <row r="10" spans="1:21" ht="15.75" x14ac:dyDescent="0.25">
      <c r="A10" s="29" t="s">
        <v>15</v>
      </c>
      <c r="B10" s="29" t="s">
        <v>16</v>
      </c>
      <c r="C10" s="29">
        <v>1</v>
      </c>
      <c r="D10" s="29">
        <v>2</v>
      </c>
      <c r="E10" s="29">
        <v>3</v>
      </c>
      <c r="F10" s="29">
        <v>4</v>
      </c>
      <c r="G10" s="29">
        <v>5</v>
      </c>
      <c r="H10" s="29">
        <v>6</v>
      </c>
      <c r="I10" s="29">
        <v>7</v>
      </c>
      <c r="J10" s="29">
        <v>8</v>
      </c>
      <c r="K10" s="29">
        <v>9</v>
      </c>
      <c r="L10" s="29">
        <v>10</v>
      </c>
      <c r="M10" s="29">
        <v>11</v>
      </c>
      <c r="N10" s="29">
        <v>12</v>
      </c>
      <c r="O10" s="29">
        <v>13</v>
      </c>
      <c r="P10" s="29">
        <v>14</v>
      </c>
      <c r="Q10" s="29">
        <v>15</v>
      </c>
      <c r="R10" s="29" t="s">
        <v>798</v>
      </c>
      <c r="S10" s="29" t="s">
        <v>799</v>
      </c>
      <c r="T10" s="29" t="s">
        <v>800</v>
      </c>
      <c r="U10" s="29" t="s">
        <v>801</v>
      </c>
    </row>
    <row r="11" spans="1:21" ht="15.75" x14ac:dyDescent="0.25">
      <c r="A11" s="29"/>
      <c r="B11" s="30" t="s">
        <v>133</v>
      </c>
      <c r="C11" s="28"/>
      <c r="D11" s="28"/>
      <c r="E11" s="28"/>
      <c r="F11" s="28"/>
      <c r="G11" s="28"/>
      <c r="H11" s="28"/>
      <c r="I11" s="28"/>
      <c r="J11" s="28"/>
      <c r="K11" s="28"/>
      <c r="L11" s="28"/>
      <c r="M11" s="28"/>
      <c r="N11" s="28"/>
      <c r="O11" s="28"/>
      <c r="P11" s="28"/>
      <c r="Q11" s="28"/>
      <c r="R11" s="28"/>
      <c r="S11" s="28"/>
      <c r="T11" s="28"/>
      <c r="U11" s="28"/>
    </row>
    <row r="12" spans="1:21" ht="15.75" x14ac:dyDescent="0.25">
      <c r="A12" s="29" t="s">
        <v>83</v>
      </c>
      <c r="B12" s="30" t="s">
        <v>652</v>
      </c>
      <c r="C12" s="30"/>
      <c r="D12" s="30"/>
      <c r="E12" s="28"/>
      <c r="F12" s="28"/>
      <c r="G12" s="28"/>
      <c r="H12" s="28"/>
      <c r="I12" s="28"/>
      <c r="J12" s="28"/>
      <c r="K12" s="28"/>
      <c r="L12" s="28"/>
      <c r="M12" s="28"/>
      <c r="N12" s="28"/>
      <c r="O12" s="28"/>
      <c r="P12" s="28"/>
      <c r="Q12" s="28"/>
      <c r="R12" s="28"/>
      <c r="S12" s="28"/>
      <c r="T12" s="28"/>
      <c r="U12" s="28"/>
    </row>
    <row r="13" spans="1:21" ht="15.75" x14ac:dyDescent="0.25">
      <c r="A13" s="28">
        <v>1</v>
      </c>
      <c r="B13" s="31" t="s">
        <v>166</v>
      </c>
      <c r="C13" s="28"/>
      <c r="D13" s="28"/>
      <c r="E13" s="28"/>
      <c r="F13" s="28"/>
      <c r="G13" s="28"/>
      <c r="H13" s="28"/>
      <c r="I13" s="28"/>
      <c r="J13" s="28"/>
      <c r="K13" s="28"/>
      <c r="L13" s="28"/>
      <c r="M13" s="28"/>
      <c r="N13" s="28"/>
      <c r="O13" s="28"/>
      <c r="P13" s="28"/>
      <c r="Q13" s="28"/>
      <c r="R13" s="28"/>
      <c r="S13" s="28"/>
      <c r="T13" s="28"/>
      <c r="U13" s="28"/>
    </row>
    <row r="14" spans="1:21" ht="15.75" x14ac:dyDescent="0.25">
      <c r="A14" s="28">
        <v>2</v>
      </c>
      <c r="B14" s="31" t="s">
        <v>167</v>
      </c>
      <c r="C14" s="28"/>
      <c r="D14" s="28"/>
      <c r="E14" s="28"/>
      <c r="F14" s="28"/>
      <c r="G14" s="28"/>
      <c r="H14" s="28"/>
      <c r="I14" s="28"/>
      <c r="J14" s="28"/>
      <c r="K14" s="28"/>
      <c r="L14" s="28"/>
      <c r="M14" s="28"/>
      <c r="N14" s="28"/>
      <c r="O14" s="28"/>
      <c r="P14" s="28"/>
      <c r="Q14" s="28"/>
      <c r="R14" s="28"/>
      <c r="S14" s="28"/>
      <c r="T14" s="28"/>
      <c r="U14" s="28"/>
    </row>
    <row r="15" spans="1:21" ht="15.75" x14ac:dyDescent="0.25">
      <c r="A15" s="28">
        <v>3</v>
      </c>
      <c r="B15" s="31" t="s">
        <v>51</v>
      </c>
      <c r="C15" s="28"/>
      <c r="D15" s="28"/>
      <c r="E15" s="28"/>
      <c r="F15" s="28"/>
      <c r="G15" s="28"/>
      <c r="H15" s="28"/>
      <c r="I15" s="28"/>
      <c r="J15" s="28"/>
      <c r="K15" s="28"/>
      <c r="L15" s="28"/>
      <c r="M15" s="28"/>
      <c r="N15" s="28"/>
      <c r="O15" s="28"/>
      <c r="P15" s="28"/>
      <c r="Q15" s="28"/>
      <c r="R15" s="28"/>
      <c r="S15" s="28"/>
      <c r="T15" s="28"/>
      <c r="U15" s="28"/>
    </row>
    <row r="16" spans="1:21" ht="15.75" x14ac:dyDescent="0.25">
      <c r="A16" s="29" t="s">
        <v>70</v>
      </c>
      <c r="B16" s="30" t="s">
        <v>132</v>
      </c>
      <c r="C16" s="30"/>
      <c r="D16" s="30"/>
      <c r="E16" s="28"/>
      <c r="F16" s="28"/>
      <c r="G16" s="28"/>
      <c r="H16" s="28"/>
      <c r="I16" s="28"/>
      <c r="J16" s="28"/>
      <c r="K16" s="28"/>
      <c r="L16" s="28"/>
      <c r="M16" s="28"/>
      <c r="N16" s="28"/>
      <c r="O16" s="28"/>
      <c r="P16" s="28"/>
      <c r="Q16" s="28"/>
      <c r="R16" s="28"/>
      <c r="S16" s="28"/>
      <c r="T16" s="28"/>
      <c r="U16" s="28"/>
    </row>
    <row r="17" spans="1:21" ht="15.75" x14ac:dyDescent="0.25">
      <c r="A17" s="28">
        <v>1</v>
      </c>
      <c r="B17" s="31" t="s">
        <v>169</v>
      </c>
      <c r="C17" s="28"/>
      <c r="D17" s="28"/>
      <c r="E17" s="28"/>
      <c r="F17" s="28"/>
      <c r="G17" s="28"/>
      <c r="H17" s="28"/>
      <c r="I17" s="28"/>
      <c r="J17" s="28"/>
      <c r="K17" s="28"/>
      <c r="L17" s="28"/>
      <c r="M17" s="28"/>
      <c r="N17" s="28"/>
      <c r="O17" s="28"/>
      <c r="P17" s="28"/>
      <c r="Q17" s="28"/>
      <c r="R17" s="28"/>
      <c r="S17" s="28"/>
      <c r="T17" s="28"/>
      <c r="U17" s="28"/>
    </row>
    <row r="18" spans="1:21" ht="15.75" x14ac:dyDescent="0.25">
      <c r="A18" s="28">
        <v>2</v>
      </c>
      <c r="B18" s="31" t="s">
        <v>170</v>
      </c>
      <c r="C18" s="28"/>
      <c r="D18" s="28"/>
      <c r="E18" s="28"/>
      <c r="F18" s="28"/>
      <c r="G18" s="28"/>
      <c r="H18" s="28"/>
      <c r="I18" s="28"/>
      <c r="J18" s="28"/>
      <c r="K18" s="28"/>
      <c r="L18" s="28"/>
      <c r="M18" s="28"/>
      <c r="N18" s="28"/>
      <c r="O18" s="28"/>
      <c r="P18" s="28"/>
      <c r="Q18" s="28"/>
      <c r="R18" s="28"/>
      <c r="S18" s="28"/>
      <c r="T18" s="28"/>
      <c r="U18" s="28"/>
    </row>
    <row r="19" spans="1:21" ht="15.75" x14ac:dyDescent="0.25">
      <c r="A19" s="28">
        <v>3</v>
      </c>
      <c r="B19" s="31" t="s">
        <v>555</v>
      </c>
      <c r="C19" s="28"/>
      <c r="D19" s="28"/>
      <c r="E19" s="28"/>
      <c r="F19" s="28"/>
      <c r="G19" s="28"/>
      <c r="H19" s="28"/>
      <c r="I19" s="28"/>
      <c r="J19" s="28"/>
      <c r="K19" s="28"/>
      <c r="L19" s="28"/>
      <c r="M19" s="28"/>
      <c r="N19" s="28"/>
      <c r="O19" s="28"/>
      <c r="P19" s="28"/>
      <c r="Q19" s="28"/>
      <c r="R19" s="28"/>
      <c r="S19" s="28"/>
      <c r="T19" s="28"/>
      <c r="U19" s="28"/>
    </row>
    <row r="20" spans="1:21" ht="15.75" x14ac:dyDescent="0.25">
      <c r="A20" s="28">
        <v>4</v>
      </c>
      <c r="B20" s="31" t="s">
        <v>172</v>
      </c>
      <c r="C20" s="28"/>
      <c r="D20" s="28"/>
      <c r="E20" s="28"/>
      <c r="F20" s="28"/>
      <c r="G20" s="28"/>
      <c r="H20" s="28"/>
      <c r="I20" s="28"/>
      <c r="J20" s="28"/>
      <c r="K20" s="28"/>
      <c r="L20" s="28"/>
      <c r="M20" s="28"/>
      <c r="N20" s="28"/>
      <c r="O20" s="28"/>
      <c r="P20" s="28"/>
      <c r="Q20" s="28"/>
      <c r="R20" s="28"/>
      <c r="S20" s="28"/>
      <c r="T20" s="28"/>
      <c r="U20" s="28"/>
    </row>
    <row r="21" spans="1:21" ht="15.75" x14ac:dyDescent="0.25">
      <c r="A21" s="28">
        <v>5</v>
      </c>
      <c r="B21" s="31" t="s">
        <v>653</v>
      </c>
      <c r="C21" s="28"/>
      <c r="D21" s="28"/>
      <c r="E21" s="28"/>
      <c r="F21" s="28"/>
      <c r="G21" s="28"/>
      <c r="H21" s="28"/>
      <c r="I21" s="28"/>
      <c r="J21" s="28"/>
      <c r="K21" s="28"/>
      <c r="L21" s="28"/>
      <c r="M21" s="28"/>
      <c r="N21" s="28"/>
      <c r="O21" s="28"/>
      <c r="P21" s="28"/>
      <c r="Q21" s="28"/>
      <c r="R21" s="28"/>
      <c r="S21" s="28"/>
      <c r="T21" s="28"/>
      <c r="U21" s="28"/>
    </row>
    <row r="22" spans="1:21" ht="15.75" x14ac:dyDescent="0.25">
      <c r="A22" s="28">
        <v>6</v>
      </c>
      <c r="B22" s="31" t="s">
        <v>174</v>
      </c>
      <c r="C22" s="28"/>
      <c r="D22" s="28"/>
      <c r="E22" s="28"/>
      <c r="F22" s="28"/>
      <c r="G22" s="28"/>
      <c r="H22" s="28"/>
      <c r="I22" s="28"/>
      <c r="J22" s="28"/>
      <c r="K22" s="28"/>
      <c r="L22" s="28"/>
      <c r="M22" s="28"/>
      <c r="N22" s="28"/>
      <c r="O22" s="28"/>
      <c r="P22" s="28"/>
      <c r="Q22" s="28"/>
      <c r="R22" s="28"/>
      <c r="S22" s="28"/>
      <c r="T22" s="28"/>
      <c r="U22" s="28"/>
    </row>
    <row r="23" spans="1:21" ht="15.75" x14ac:dyDescent="0.25">
      <c r="A23" s="28">
        <v>7</v>
      </c>
      <c r="B23" s="31" t="s">
        <v>175</v>
      </c>
      <c r="C23" s="28"/>
      <c r="D23" s="28"/>
      <c r="E23" s="28"/>
      <c r="F23" s="28"/>
      <c r="G23" s="28"/>
      <c r="H23" s="28"/>
      <c r="I23" s="28"/>
      <c r="J23" s="28"/>
      <c r="K23" s="28"/>
      <c r="L23" s="28"/>
      <c r="M23" s="28"/>
      <c r="N23" s="28"/>
      <c r="O23" s="28"/>
      <c r="P23" s="28"/>
      <c r="Q23" s="28"/>
      <c r="R23" s="28"/>
      <c r="S23" s="28"/>
      <c r="T23" s="28"/>
      <c r="U23" s="28"/>
    </row>
    <row r="24" spans="1:21" ht="15.75" x14ac:dyDescent="0.25">
      <c r="A24" s="28">
        <v>8</v>
      </c>
      <c r="B24" s="31" t="s">
        <v>557</v>
      </c>
      <c r="C24" s="28"/>
      <c r="D24" s="28"/>
      <c r="E24" s="28"/>
      <c r="F24" s="28"/>
      <c r="G24" s="28"/>
      <c r="H24" s="28"/>
      <c r="I24" s="28"/>
      <c r="J24" s="28"/>
      <c r="K24" s="28"/>
      <c r="L24" s="28"/>
      <c r="M24" s="28"/>
      <c r="N24" s="28"/>
      <c r="O24" s="28"/>
      <c r="P24" s="28"/>
      <c r="Q24" s="28"/>
      <c r="R24" s="28"/>
      <c r="S24" s="28"/>
      <c r="T24" s="28"/>
      <c r="U24" s="28"/>
    </row>
    <row r="25" spans="1:21" ht="15.75" x14ac:dyDescent="0.25">
      <c r="A25" s="28">
        <v>9</v>
      </c>
      <c r="B25" s="31" t="s">
        <v>201</v>
      </c>
      <c r="C25" s="28"/>
      <c r="D25" s="28"/>
      <c r="E25" s="28"/>
      <c r="F25" s="28"/>
      <c r="G25" s="28"/>
      <c r="H25" s="28"/>
      <c r="I25" s="28"/>
      <c r="J25" s="28"/>
      <c r="K25" s="28"/>
      <c r="L25" s="28"/>
      <c r="M25" s="28"/>
      <c r="N25" s="28"/>
      <c r="O25" s="28"/>
      <c r="P25" s="28"/>
      <c r="Q25" s="28"/>
      <c r="R25" s="28"/>
      <c r="S25" s="28"/>
      <c r="T25" s="28"/>
      <c r="U25" s="28"/>
    </row>
    <row r="26" spans="1:21" ht="44.25" customHeight="1" x14ac:dyDescent="0.25">
      <c r="A26" s="543" t="s">
        <v>654</v>
      </c>
      <c r="B26" s="543"/>
      <c r="C26" s="543"/>
      <c r="D26" s="543"/>
      <c r="E26" s="543"/>
      <c r="F26" s="543"/>
      <c r="G26" s="543"/>
      <c r="H26" s="543"/>
      <c r="I26" s="543"/>
      <c r="J26" s="543"/>
      <c r="K26" s="543"/>
      <c r="L26" s="543"/>
      <c r="M26" s="543"/>
      <c r="N26" s="543"/>
      <c r="O26" s="543"/>
      <c r="P26" s="543"/>
      <c r="Q26" s="543"/>
      <c r="R26" s="543"/>
      <c r="S26" s="543"/>
      <c r="T26" s="543"/>
      <c r="U26" s="543"/>
    </row>
    <row r="27" spans="1:21" ht="15.75" x14ac:dyDescent="0.25">
      <c r="A27" s="49"/>
    </row>
  </sheetData>
  <mergeCells count="31">
    <mergeCell ref="A5:A9"/>
    <mergeCell ref="B5:B9"/>
    <mergeCell ref="C5:F5"/>
    <mergeCell ref="G5:Q5"/>
    <mergeCell ref="R5:U5"/>
    <mergeCell ref="C6:C9"/>
    <mergeCell ref="D6:E6"/>
    <mergeCell ref="F6:F9"/>
    <mergeCell ref="G6:G9"/>
    <mergeCell ref="H6:I6"/>
    <mergeCell ref="D7:D9"/>
    <mergeCell ref="E7:E9"/>
    <mergeCell ref="H7:H9"/>
    <mergeCell ref="I7:I9"/>
    <mergeCell ref="J7:J9"/>
    <mergeCell ref="A2:U2"/>
    <mergeCell ref="A3:U3"/>
    <mergeCell ref="A26:U26"/>
    <mergeCell ref="K7:M7"/>
    <mergeCell ref="N7:P7"/>
    <mergeCell ref="S7:S9"/>
    <mergeCell ref="T7:T9"/>
    <mergeCell ref="K8:K9"/>
    <mergeCell ref="L8:M8"/>
    <mergeCell ref="N8:N9"/>
    <mergeCell ref="O8:P8"/>
    <mergeCell ref="J6:P6"/>
    <mergeCell ref="Q6:Q9"/>
    <mergeCell ref="R6:R9"/>
    <mergeCell ref="S6:T6"/>
    <mergeCell ref="U6:U9"/>
  </mergeCells>
  <pageMargins left="0.7" right="0.7" top="0.75" bottom="0.75" header="0.3" footer="0.3"/>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rgb="FF00B0F0"/>
  </sheetPr>
  <dimension ref="A1:AD27"/>
  <sheetViews>
    <sheetView workbookViewId="0">
      <selection activeCell="M17" sqref="M17"/>
    </sheetView>
  </sheetViews>
  <sheetFormatPr defaultRowHeight="15" x14ac:dyDescent="0.25"/>
  <cols>
    <col min="1" max="1" width="6.85546875" customWidth="1"/>
    <col min="2" max="2" width="33.85546875" customWidth="1"/>
  </cols>
  <sheetData>
    <row r="1" spans="1:30" ht="15.75" x14ac:dyDescent="0.25">
      <c r="AD1" s="25" t="s">
        <v>802</v>
      </c>
    </row>
    <row r="2" spans="1:30" ht="15.75" x14ac:dyDescent="0.25">
      <c r="A2" s="448" t="s">
        <v>803</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448"/>
    </row>
    <row r="3" spans="1:30" ht="15.75" x14ac:dyDescent="0.25">
      <c r="A3" s="448" t="s">
        <v>126</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row>
    <row r="4" spans="1:30" ht="15.75" x14ac:dyDescent="0.25">
      <c r="AD4" s="26" t="s">
        <v>56</v>
      </c>
    </row>
    <row r="5" spans="1:30" ht="15.75" x14ac:dyDescent="0.25">
      <c r="A5" s="449" t="s">
        <v>3</v>
      </c>
      <c r="B5" s="449" t="s">
        <v>180</v>
      </c>
      <c r="C5" s="449" t="s">
        <v>181</v>
      </c>
      <c r="D5" s="449" t="s">
        <v>182</v>
      </c>
      <c r="E5" s="449" t="s">
        <v>183</v>
      </c>
      <c r="F5" s="449" t="s">
        <v>184</v>
      </c>
      <c r="G5" s="449"/>
      <c r="H5" s="449"/>
      <c r="I5" s="449"/>
      <c r="J5" s="449"/>
      <c r="K5" s="449" t="s">
        <v>689</v>
      </c>
      <c r="L5" s="449"/>
      <c r="M5" s="449"/>
      <c r="N5" s="449"/>
      <c r="O5" s="449" t="s">
        <v>690</v>
      </c>
      <c r="P5" s="449"/>
      <c r="Q5" s="449"/>
      <c r="R5" s="449"/>
      <c r="S5" s="449" t="s">
        <v>804</v>
      </c>
      <c r="T5" s="449"/>
      <c r="U5" s="449"/>
      <c r="V5" s="449"/>
      <c r="W5" s="449" t="s">
        <v>805</v>
      </c>
      <c r="X5" s="449"/>
      <c r="Y5" s="449"/>
      <c r="Z5" s="449"/>
      <c r="AA5" s="449" t="s">
        <v>366</v>
      </c>
      <c r="AB5" s="449"/>
      <c r="AC5" s="449"/>
      <c r="AD5" s="449"/>
    </row>
    <row r="6" spans="1:30" ht="14.25" customHeight="1" x14ac:dyDescent="0.25">
      <c r="A6" s="449"/>
      <c r="B6" s="449"/>
      <c r="C6" s="449"/>
      <c r="D6" s="449"/>
      <c r="E6" s="449"/>
      <c r="F6" s="449" t="s">
        <v>187</v>
      </c>
      <c r="G6" s="449" t="s">
        <v>691</v>
      </c>
      <c r="H6" s="449"/>
      <c r="I6" s="449"/>
      <c r="J6" s="449"/>
      <c r="K6" s="449"/>
      <c r="L6" s="449"/>
      <c r="M6" s="449"/>
      <c r="N6" s="449"/>
      <c r="O6" s="449"/>
      <c r="P6" s="449"/>
      <c r="Q6" s="449"/>
      <c r="R6" s="449"/>
      <c r="S6" s="449"/>
      <c r="T6" s="449"/>
      <c r="U6" s="449"/>
      <c r="V6" s="449"/>
      <c r="W6" s="449"/>
      <c r="X6" s="449"/>
      <c r="Y6" s="449"/>
      <c r="Z6" s="449"/>
      <c r="AA6" s="449"/>
      <c r="AB6" s="449"/>
      <c r="AC6" s="449"/>
      <c r="AD6" s="449"/>
    </row>
    <row r="7" spans="1:30" ht="21.75" customHeight="1" x14ac:dyDescent="0.25">
      <c r="A7" s="449"/>
      <c r="B7" s="449"/>
      <c r="C7" s="449"/>
      <c r="D7" s="449"/>
      <c r="E7" s="449"/>
      <c r="F7" s="449"/>
      <c r="G7" s="449" t="s">
        <v>189</v>
      </c>
      <c r="H7" s="449" t="s">
        <v>692</v>
      </c>
      <c r="I7" s="449"/>
      <c r="J7" s="449"/>
      <c r="K7" s="449" t="s">
        <v>130</v>
      </c>
      <c r="L7" s="449" t="s">
        <v>692</v>
      </c>
      <c r="M7" s="449"/>
      <c r="N7" s="449"/>
      <c r="O7" s="449" t="s">
        <v>130</v>
      </c>
      <c r="P7" s="449" t="s">
        <v>692</v>
      </c>
      <c r="Q7" s="449"/>
      <c r="R7" s="449"/>
      <c r="S7" s="449" t="s">
        <v>130</v>
      </c>
      <c r="T7" s="449" t="s">
        <v>692</v>
      </c>
      <c r="U7" s="449"/>
      <c r="V7" s="449"/>
      <c r="W7" s="449" t="s">
        <v>130</v>
      </c>
      <c r="X7" s="449" t="s">
        <v>692</v>
      </c>
      <c r="Y7" s="449"/>
      <c r="Z7" s="449"/>
      <c r="AA7" s="449" t="s">
        <v>130</v>
      </c>
      <c r="AB7" s="449" t="s">
        <v>692</v>
      </c>
      <c r="AC7" s="449"/>
      <c r="AD7" s="449"/>
    </row>
    <row r="8" spans="1:30" ht="95.25" customHeight="1" x14ac:dyDescent="0.25">
      <c r="A8" s="449"/>
      <c r="B8" s="449"/>
      <c r="C8" s="449"/>
      <c r="D8" s="449"/>
      <c r="E8" s="449"/>
      <c r="F8" s="449"/>
      <c r="G8" s="449"/>
      <c r="H8" s="29" t="s">
        <v>693</v>
      </c>
      <c r="I8" s="29" t="s">
        <v>217</v>
      </c>
      <c r="J8" s="29" t="s">
        <v>600</v>
      </c>
      <c r="K8" s="449"/>
      <c r="L8" s="29" t="s">
        <v>693</v>
      </c>
      <c r="M8" s="29" t="s">
        <v>217</v>
      </c>
      <c r="N8" s="29" t="s">
        <v>600</v>
      </c>
      <c r="O8" s="449"/>
      <c r="P8" s="29" t="s">
        <v>693</v>
      </c>
      <c r="Q8" s="29" t="s">
        <v>217</v>
      </c>
      <c r="R8" s="29" t="s">
        <v>600</v>
      </c>
      <c r="S8" s="449"/>
      <c r="T8" s="29" t="s">
        <v>693</v>
      </c>
      <c r="U8" s="29" t="s">
        <v>217</v>
      </c>
      <c r="V8" s="29" t="s">
        <v>600</v>
      </c>
      <c r="W8" s="449"/>
      <c r="X8" s="29" t="s">
        <v>693</v>
      </c>
      <c r="Y8" s="29" t="s">
        <v>217</v>
      </c>
      <c r="Z8" s="29" t="s">
        <v>600</v>
      </c>
      <c r="AA8" s="449"/>
      <c r="AB8" s="29" t="s">
        <v>693</v>
      </c>
      <c r="AC8" s="29" t="s">
        <v>217</v>
      </c>
      <c r="AD8" s="29" t="s">
        <v>600</v>
      </c>
    </row>
    <row r="9" spans="1:30" s="39" customFormat="1" ht="12.75" x14ac:dyDescent="0.2">
      <c r="A9" s="38" t="s">
        <v>15</v>
      </c>
      <c r="B9" s="38" t="s">
        <v>16</v>
      </c>
      <c r="C9" s="38">
        <v>1</v>
      </c>
      <c r="D9" s="38">
        <v>2</v>
      </c>
      <c r="E9" s="38">
        <v>3</v>
      </c>
      <c r="F9" s="38">
        <v>4</v>
      </c>
      <c r="G9" s="38">
        <v>5</v>
      </c>
      <c r="H9" s="38">
        <v>6</v>
      </c>
      <c r="I9" s="38">
        <v>7</v>
      </c>
      <c r="J9" s="38">
        <v>8</v>
      </c>
      <c r="K9" s="38">
        <v>9</v>
      </c>
      <c r="L9" s="38">
        <v>10</v>
      </c>
      <c r="M9" s="38">
        <v>11</v>
      </c>
      <c r="N9" s="38">
        <v>12</v>
      </c>
      <c r="O9" s="38">
        <v>13</v>
      </c>
      <c r="P9" s="38">
        <v>14</v>
      </c>
      <c r="Q9" s="38">
        <v>15</v>
      </c>
      <c r="R9" s="38">
        <v>16</v>
      </c>
      <c r="S9" s="38">
        <v>17</v>
      </c>
      <c r="T9" s="38">
        <v>18</v>
      </c>
      <c r="U9" s="38">
        <v>19</v>
      </c>
      <c r="V9" s="38">
        <v>20</v>
      </c>
      <c r="W9" s="38">
        <v>21</v>
      </c>
      <c r="X9" s="38">
        <v>22</v>
      </c>
      <c r="Y9" s="38">
        <v>23</v>
      </c>
      <c r="Z9" s="38">
        <v>24</v>
      </c>
      <c r="AA9" s="38" t="s">
        <v>806</v>
      </c>
      <c r="AB9" s="38" t="s">
        <v>807</v>
      </c>
      <c r="AC9" s="38" t="s">
        <v>808</v>
      </c>
      <c r="AD9" s="38" t="s">
        <v>809</v>
      </c>
    </row>
    <row r="10" spans="1:30" ht="15.75" x14ac:dyDescent="0.25">
      <c r="A10" s="30"/>
      <c r="B10" s="29" t="s">
        <v>130</v>
      </c>
      <c r="C10" s="29"/>
      <c r="D10" s="29"/>
      <c r="E10" s="29"/>
      <c r="F10" s="29"/>
      <c r="G10" s="29"/>
      <c r="H10" s="29"/>
      <c r="I10" s="29"/>
      <c r="J10" s="29"/>
      <c r="K10" s="29"/>
      <c r="L10" s="29"/>
      <c r="M10" s="29"/>
      <c r="N10" s="31"/>
      <c r="O10" s="31"/>
      <c r="P10" s="31"/>
      <c r="Q10" s="31"/>
      <c r="R10" s="31"/>
      <c r="S10" s="31"/>
      <c r="T10" s="31"/>
      <c r="U10" s="31"/>
      <c r="V10" s="31"/>
      <c r="W10" s="31"/>
      <c r="X10" s="31"/>
      <c r="Y10" s="31"/>
      <c r="Z10" s="31"/>
      <c r="AA10" s="31"/>
      <c r="AB10" s="31"/>
      <c r="AC10" s="31"/>
      <c r="AD10" s="31"/>
    </row>
    <row r="11" spans="1:30" ht="31.5" x14ac:dyDescent="0.25">
      <c r="A11" s="29" t="s">
        <v>15</v>
      </c>
      <c r="B11" s="30" t="s">
        <v>191</v>
      </c>
      <c r="C11" s="28"/>
      <c r="D11" s="28"/>
      <c r="E11" s="28"/>
      <c r="F11" s="28"/>
      <c r="G11" s="28"/>
      <c r="H11" s="28"/>
      <c r="I11" s="28"/>
      <c r="J11" s="28"/>
      <c r="K11" s="29"/>
      <c r="L11" s="29"/>
      <c r="M11" s="29"/>
      <c r="N11" s="31"/>
      <c r="O11" s="31"/>
      <c r="P11" s="31"/>
      <c r="Q11" s="31"/>
      <c r="R11" s="31"/>
      <c r="S11" s="31"/>
      <c r="T11" s="31"/>
      <c r="U11" s="31"/>
      <c r="V11" s="31"/>
      <c r="W11" s="31"/>
      <c r="X11" s="31"/>
      <c r="Y11" s="31"/>
      <c r="Z11" s="31"/>
      <c r="AA11" s="31"/>
      <c r="AB11" s="31"/>
      <c r="AC11" s="31"/>
      <c r="AD11" s="31"/>
    </row>
    <row r="12" spans="1:30" ht="31.5" x14ac:dyDescent="0.25">
      <c r="A12" s="29" t="s">
        <v>83</v>
      </c>
      <c r="B12" s="30" t="s">
        <v>192</v>
      </c>
      <c r="C12" s="28"/>
      <c r="D12" s="28"/>
      <c r="E12" s="28"/>
      <c r="F12" s="28"/>
      <c r="G12" s="28"/>
      <c r="H12" s="28"/>
      <c r="I12" s="28"/>
      <c r="J12" s="28"/>
      <c r="K12" s="28"/>
      <c r="L12" s="29"/>
      <c r="M12" s="29"/>
      <c r="N12" s="31"/>
      <c r="O12" s="31"/>
      <c r="P12" s="31"/>
      <c r="Q12" s="31"/>
      <c r="R12" s="31"/>
      <c r="S12" s="31"/>
      <c r="T12" s="31"/>
      <c r="U12" s="31"/>
      <c r="V12" s="31"/>
      <c r="W12" s="31"/>
      <c r="X12" s="31"/>
      <c r="Y12" s="31"/>
      <c r="Z12" s="31"/>
      <c r="AA12" s="31"/>
      <c r="AB12" s="31"/>
      <c r="AC12" s="31"/>
      <c r="AD12" s="31"/>
    </row>
    <row r="13" spans="1:30" ht="15.75" x14ac:dyDescent="0.25">
      <c r="A13" s="29">
        <v>1</v>
      </c>
      <c r="B13" s="30" t="s">
        <v>193</v>
      </c>
      <c r="C13" s="28"/>
      <c r="D13" s="28"/>
      <c r="E13" s="28"/>
      <c r="F13" s="28"/>
      <c r="G13" s="28"/>
      <c r="H13" s="28"/>
      <c r="I13" s="28"/>
      <c r="J13" s="28"/>
      <c r="K13" s="28"/>
      <c r="L13" s="28"/>
      <c r="M13" s="28"/>
      <c r="N13" s="31"/>
      <c r="O13" s="31"/>
      <c r="P13" s="31"/>
      <c r="Q13" s="31"/>
      <c r="R13" s="31"/>
      <c r="S13" s="31"/>
      <c r="T13" s="31"/>
      <c r="U13" s="31"/>
      <c r="V13" s="31"/>
      <c r="W13" s="31"/>
      <c r="X13" s="31"/>
      <c r="Y13" s="31"/>
      <c r="Z13" s="31"/>
      <c r="AA13" s="31"/>
      <c r="AB13" s="31"/>
      <c r="AC13" s="31"/>
      <c r="AD13" s="31"/>
    </row>
    <row r="14" spans="1:30" ht="15.75" x14ac:dyDescent="0.25">
      <c r="A14" s="28" t="s">
        <v>22</v>
      </c>
      <c r="B14" s="31" t="s">
        <v>194</v>
      </c>
      <c r="C14" s="28"/>
      <c r="D14" s="28"/>
      <c r="E14" s="28"/>
      <c r="F14" s="28"/>
      <c r="G14" s="28"/>
      <c r="H14" s="28"/>
      <c r="I14" s="28"/>
      <c r="J14" s="28"/>
      <c r="K14" s="28"/>
      <c r="L14" s="28"/>
      <c r="M14" s="28"/>
      <c r="N14" s="31"/>
      <c r="O14" s="31"/>
      <c r="P14" s="31"/>
      <c r="Q14" s="31"/>
      <c r="R14" s="31"/>
      <c r="S14" s="31"/>
      <c r="T14" s="31"/>
      <c r="U14" s="31"/>
      <c r="V14" s="31"/>
      <c r="W14" s="31"/>
      <c r="X14" s="31"/>
      <c r="Y14" s="31"/>
      <c r="Z14" s="31"/>
      <c r="AA14" s="31"/>
      <c r="AB14" s="31"/>
      <c r="AC14" s="31"/>
      <c r="AD14" s="31"/>
    </row>
    <row r="15" spans="1:30" ht="15.75" x14ac:dyDescent="0.25">
      <c r="A15" s="28" t="s">
        <v>22</v>
      </c>
      <c r="B15" s="31" t="s">
        <v>177</v>
      </c>
      <c r="C15" s="28"/>
      <c r="D15" s="28"/>
      <c r="E15" s="28"/>
      <c r="F15" s="28"/>
      <c r="G15" s="28"/>
      <c r="H15" s="28"/>
      <c r="I15" s="28"/>
      <c r="J15" s="28"/>
      <c r="K15" s="28"/>
      <c r="L15" s="28"/>
      <c r="M15" s="28"/>
      <c r="N15" s="31"/>
      <c r="O15" s="31"/>
      <c r="P15" s="31"/>
      <c r="Q15" s="31"/>
      <c r="R15" s="31"/>
      <c r="S15" s="31"/>
      <c r="T15" s="31"/>
      <c r="U15" s="31"/>
      <c r="V15" s="31"/>
      <c r="W15" s="31"/>
      <c r="X15" s="31"/>
      <c r="Y15" s="31"/>
      <c r="Z15" s="31"/>
      <c r="AA15" s="31"/>
      <c r="AB15" s="31"/>
      <c r="AC15" s="31"/>
      <c r="AD15" s="31"/>
    </row>
    <row r="16" spans="1:30" ht="15.75" x14ac:dyDescent="0.25">
      <c r="A16" s="29">
        <v>2</v>
      </c>
      <c r="B16" s="30" t="s">
        <v>195</v>
      </c>
      <c r="C16" s="28"/>
      <c r="D16" s="28"/>
      <c r="E16" s="28"/>
      <c r="F16" s="28"/>
      <c r="G16" s="28"/>
      <c r="H16" s="28"/>
      <c r="I16" s="28"/>
      <c r="J16" s="28"/>
      <c r="K16" s="28"/>
      <c r="L16" s="28"/>
      <c r="M16" s="28"/>
      <c r="N16" s="31"/>
      <c r="O16" s="31"/>
      <c r="P16" s="31"/>
      <c r="Q16" s="31"/>
      <c r="R16" s="31"/>
      <c r="S16" s="31"/>
      <c r="T16" s="31"/>
      <c r="U16" s="31"/>
      <c r="V16" s="31"/>
      <c r="W16" s="31"/>
      <c r="X16" s="31"/>
      <c r="Y16" s="31"/>
      <c r="Z16" s="31"/>
      <c r="AA16" s="31"/>
      <c r="AB16" s="31"/>
      <c r="AC16" s="31"/>
      <c r="AD16" s="31"/>
    </row>
    <row r="17" spans="1:30" ht="31.5" x14ac:dyDescent="0.25">
      <c r="A17" s="29" t="s">
        <v>144</v>
      </c>
      <c r="B17" s="30" t="s">
        <v>196</v>
      </c>
      <c r="C17" s="28"/>
      <c r="D17" s="28"/>
      <c r="E17" s="28"/>
      <c r="F17" s="28"/>
      <c r="G17" s="28"/>
      <c r="H17" s="28"/>
      <c r="I17" s="28"/>
      <c r="J17" s="28"/>
      <c r="K17" s="28"/>
      <c r="L17" s="28"/>
      <c r="M17" s="28"/>
      <c r="N17" s="31"/>
      <c r="O17" s="31"/>
      <c r="P17" s="31"/>
      <c r="Q17" s="31"/>
      <c r="R17" s="31"/>
      <c r="S17" s="31"/>
      <c r="T17" s="31"/>
      <c r="U17" s="31"/>
      <c r="V17" s="31"/>
      <c r="W17" s="31"/>
      <c r="X17" s="31"/>
      <c r="Y17" s="31"/>
      <c r="Z17" s="31"/>
      <c r="AA17" s="31"/>
      <c r="AB17" s="31"/>
      <c r="AC17" s="31"/>
      <c r="AD17" s="31"/>
    </row>
    <row r="18" spans="1:30" ht="15.75" x14ac:dyDescent="0.25">
      <c r="A18" s="28" t="s">
        <v>22</v>
      </c>
      <c r="B18" s="31" t="s">
        <v>197</v>
      </c>
      <c r="C18" s="28"/>
      <c r="D18" s="28"/>
      <c r="E18" s="28"/>
      <c r="F18" s="28"/>
      <c r="G18" s="28"/>
      <c r="H18" s="28"/>
      <c r="I18" s="28"/>
      <c r="J18" s="28"/>
      <c r="K18" s="28"/>
      <c r="L18" s="28"/>
      <c r="M18" s="28"/>
      <c r="N18" s="31"/>
      <c r="O18" s="31"/>
      <c r="P18" s="31"/>
      <c r="Q18" s="31"/>
      <c r="R18" s="31"/>
      <c r="S18" s="31"/>
      <c r="T18" s="31"/>
      <c r="U18" s="31"/>
      <c r="V18" s="31"/>
      <c r="W18" s="31"/>
      <c r="X18" s="31"/>
      <c r="Y18" s="31"/>
      <c r="Z18" s="31"/>
      <c r="AA18" s="31"/>
      <c r="AB18" s="31"/>
      <c r="AC18" s="31"/>
      <c r="AD18" s="31"/>
    </row>
    <row r="19" spans="1:30" ht="15.75" x14ac:dyDescent="0.25">
      <c r="A19" s="28" t="s">
        <v>22</v>
      </c>
      <c r="B19" s="31" t="s">
        <v>198</v>
      </c>
      <c r="C19" s="28"/>
      <c r="D19" s="28"/>
      <c r="E19" s="28"/>
      <c r="F19" s="28"/>
      <c r="G19" s="28"/>
      <c r="H19" s="28"/>
      <c r="I19" s="28"/>
      <c r="J19" s="28"/>
      <c r="K19" s="28"/>
      <c r="L19" s="28"/>
      <c r="M19" s="28"/>
      <c r="N19" s="31"/>
      <c r="O19" s="31"/>
      <c r="P19" s="31"/>
      <c r="Q19" s="31"/>
      <c r="R19" s="31"/>
      <c r="S19" s="31"/>
      <c r="T19" s="31"/>
      <c r="U19" s="31"/>
      <c r="V19" s="31"/>
      <c r="W19" s="31"/>
      <c r="X19" s="31"/>
      <c r="Y19" s="31"/>
      <c r="Z19" s="31"/>
      <c r="AA19" s="31"/>
      <c r="AB19" s="31"/>
      <c r="AC19" s="31"/>
      <c r="AD19" s="31"/>
    </row>
    <row r="20" spans="1:30" ht="31.5" x14ac:dyDescent="0.25">
      <c r="A20" s="29" t="s">
        <v>146</v>
      </c>
      <c r="B20" s="30" t="s">
        <v>199</v>
      </c>
      <c r="C20" s="28"/>
      <c r="D20" s="28"/>
      <c r="E20" s="28"/>
      <c r="F20" s="28"/>
      <c r="G20" s="28"/>
      <c r="H20" s="28"/>
      <c r="I20" s="28"/>
      <c r="J20" s="28"/>
      <c r="K20" s="28"/>
      <c r="L20" s="28"/>
      <c r="M20" s="28"/>
      <c r="N20" s="31"/>
      <c r="O20" s="31"/>
      <c r="P20" s="31"/>
      <c r="Q20" s="31"/>
      <c r="R20" s="31"/>
      <c r="S20" s="31"/>
      <c r="T20" s="31"/>
      <c r="U20" s="31"/>
      <c r="V20" s="31"/>
      <c r="W20" s="31"/>
      <c r="X20" s="31"/>
      <c r="Y20" s="31"/>
      <c r="Z20" s="31"/>
      <c r="AA20" s="31"/>
      <c r="AB20" s="31"/>
      <c r="AC20" s="31"/>
      <c r="AD20" s="31"/>
    </row>
    <row r="21" spans="1:30" ht="15.75" x14ac:dyDescent="0.25">
      <c r="A21" s="28" t="s">
        <v>22</v>
      </c>
      <c r="B21" s="31" t="s">
        <v>200</v>
      </c>
      <c r="C21" s="28"/>
      <c r="D21" s="28"/>
      <c r="E21" s="28"/>
      <c r="F21" s="28"/>
      <c r="G21" s="28"/>
      <c r="H21" s="28"/>
      <c r="I21" s="28"/>
      <c r="J21" s="28"/>
      <c r="K21" s="28"/>
      <c r="L21" s="28"/>
      <c r="M21" s="28"/>
      <c r="N21" s="31"/>
      <c r="O21" s="31"/>
      <c r="P21" s="31"/>
      <c r="Q21" s="31"/>
      <c r="R21" s="31"/>
      <c r="S21" s="31"/>
      <c r="T21" s="31"/>
      <c r="U21" s="31"/>
      <c r="V21" s="31"/>
      <c r="W21" s="31"/>
      <c r="X21" s="31"/>
      <c r="Y21" s="31"/>
      <c r="Z21" s="31"/>
      <c r="AA21" s="31"/>
      <c r="AB21" s="31"/>
      <c r="AC21" s="31"/>
      <c r="AD21" s="31"/>
    </row>
    <row r="22" spans="1:30" ht="15.75" x14ac:dyDescent="0.25">
      <c r="A22" s="28" t="s">
        <v>22</v>
      </c>
      <c r="B22" s="31" t="s">
        <v>201</v>
      </c>
      <c r="C22" s="28"/>
      <c r="D22" s="28"/>
      <c r="E22" s="28"/>
      <c r="F22" s="28"/>
      <c r="G22" s="28"/>
      <c r="H22" s="28"/>
      <c r="I22" s="28"/>
      <c r="J22" s="28"/>
      <c r="K22" s="28"/>
      <c r="L22" s="28"/>
      <c r="M22" s="28"/>
      <c r="N22" s="31"/>
      <c r="O22" s="31"/>
      <c r="P22" s="31"/>
      <c r="Q22" s="31"/>
      <c r="R22" s="31"/>
      <c r="S22" s="31"/>
      <c r="T22" s="31"/>
      <c r="U22" s="31"/>
      <c r="V22" s="31"/>
      <c r="W22" s="31"/>
      <c r="X22" s="31"/>
      <c r="Y22" s="31"/>
      <c r="Z22" s="31"/>
      <c r="AA22" s="31"/>
      <c r="AB22" s="31"/>
      <c r="AC22" s="31"/>
      <c r="AD22" s="31"/>
    </row>
    <row r="23" spans="1:30" ht="31.5" x14ac:dyDescent="0.25">
      <c r="A23" s="29" t="s">
        <v>70</v>
      </c>
      <c r="B23" s="30" t="s">
        <v>192</v>
      </c>
      <c r="C23" s="28"/>
      <c r="D23" s="28"/>
      <c r="E23" s="28"/>
      <c r="F23" s="28"/>
      <c r="G23" s="28"/>
      <c r="H23" s="28"/>
      <c r="I23" s="28"/>
      <c r="J23" s="28"/>
      <c r="K23" s="28"/>
      <c r="L23" s="28"/>
      <c r="M23" s="28"/>
      <c r="N23" s="31"/>
      <c r="O23" s="31"/>
      <c r="P23" s="31"/>
      <c r="Q23" s="31"/>
      <c r="R23" s="31"/>
      <c r="S23" s="31"/>
      <c r="T23" s="31"/>
      <c r="U23" s="31"/>
      <c r="V23" s="31"/>
      <c r="W23" s="31"/>
      <c r="X23" s="31"/>
      <c r="Y23" s="31"/>
      <c r="Z23" s="31"/>
      <c r="AA23" s="31"/>
      <c r="AB23" s="31"/>
      <c r="AC23" s="31"/>
      <c r="AD23" s="31"/>
    </row>
    <row r="24" spans="1:30" ht="15.75" x14ac:dyDescent="0.25">
      <c r="A24" s="28"/>
      <c r="B24" s="30" t="s">
        <v>202</v>
      </c>
      <c r="C24" s="28"/>
      <c r="D24" s="28"/>
      <c r="E24" s="28"/>
      <c r="F24" s="28"/>
      <c r="G24" s="28"/>
      <c r="H24" s="28"/>
      <c r="I24" s="28"/>
      <c r="J24" s="28"/>
      <c r="K24" s="28"/>
      <c r="L24" s="28"/>
      <c r="M24" s="28"/>
      <c r="N24" s="31"/>
      <c r="O24" s="31"/>
      <c r="P24" s="31"/>
      <c r="Q24" s="31"/>
      <c r="R24" s="31"/>
      <c r="S24" s="31"/>
      <c r="T24" s="31"/>
      <c r="U24" s="31"/>
      <c r="V24" s="31"/>
      <c r="W24" s="31"/>
      <c r="X24" s="31"/>
      <c r="Y24" s="31"/>
      <c r="Z24" s="31"/>
      <c r="AA24" s="31"/>
      <c r="AB24" s="31"/>
      <c r="AC24" s="31"/>
      <c r="AD24" s="31"/>
    </row>
    <row r="25" spans="1:30" ht="31.5" x14ac:dyDescent="0.25">
      <c r="A25" s="29" t="s">
        <v>16</v>
      </c>
      <c r="B25" s="30" t="s">
        <v>203</v>
      </c>
      <c r="C25" s="28"/>
      <c r="D25" s="28"/>
      <c r="E25" s="28"/>
      <c r="F25" s="28"/>
      <c r="G25" s="28"/>
      <c r="H25" s="28"/>
      <c r="I25" s="28"/>
      <c r="J25" s="28"/>
      <c r="K25" s="28"/>
      <c r="L25" s="28"/>
      <c r="M25" s="28"/>
      <c r="N25" s="31"/>
      <c r="O25" s="31"/>
      <c r="P25" s="31"/>
      <c r="Q25" s="31"/>
      <c r="R25" s="31"/>
      <c r="S25" s="31"/>
      <c r="T25" s="31"/>
      <c r="U25" s="31"/>
      <c r="V25" s="31"/>
      <c r="W25" s="31"/>
      <c r="X25" s="31"/>
      <c r="Y25" s="31"/>
      <c r="Z25" s="31"/>
      <c r="AA25" s="31"/>
      <c r="AB25" s="31"/>
      <c r="AC25" s="31"/>
      <c r="AD25" s="31"/>
    </row>
    <row r="26" spans="1:30" ht="15.75" x14ac:dyDescent="0.25">
      <c r="A26" s="28"/>
      <c r="B26" s="30" t="s">
        <v>204</v>
      </c>
      <c r="C26" s="28"/>
      <c r="D26" s="28"/>
      <c r="E26" s="28"/>
      <c r="F26" s="28"/>
      <c r="G26" s="28"/>
      <c r="H26" s="28"/>
      <c r="I26" s="28"/>
      <c r="J26" s="28"/>
      <c r="K26" s="28"/>
      <c r="L26" s="28"/>
      <c r="M26" s="28"/>
      <c r="N26" s="31"/>
      <c r="O26" s="31"/>
      <c r="P26" s="31"/>
      <c r="Q26" s="31"/>
      <c r="R26" s="31"/>
      <c r="S26" s="31"/>
      <c r="T26" s="31"/>
      <c r="U26" s="31"/>
      <c r="V26" s="31"/>
      <c r="W26" s="31"/>
      <c r="X26" s="31"/>
      <c r="Y26" s="31"/>
      <c r="Z26" s="31"/>
      <c r="AA26" s="31"/>
      <c r="AB26" s="31"/>
      <c r="AC26" s="31"/>
      <c r="AD26" s="31"/>
    </row>
    <row r="27" spans="1:30" ht="15.75" x14ac:dyDescent="0.25">
      <c r="A27" s="28" t="s">
        <v>22</v>
      </c>
      <c r="B27" s="31" t="s">
        <v>205</v>
      </c>
      <c r="C27" s="28"/>
      <c r="D27" s="28"/>
      <c r="E27" s="28"/>
      <c r="F27" s="28"/>
      <c r="G27" s="28"/>
      <c r="H27" s="28"/>
      <c r="I27" s="28"/>
      <c r="J27" s="28"/>
      <c r="K27" s="28"/>
      <c r="L27" s="28"/>
      <c r="M27" s="28"/>
      <c r="N27" s="31"/>
      <c r="O27" s="31"/>
      <c r="P27" s="31"/>
      <c r="Q27" s="31"/>
      <c r="R27" s="31"/>
      <c r="S27" s="31"/>
      <c r="T27" s="31"/>
      <c r="U27" s="31"/>
      <c r="V27" s="31"/>
      <c r="W27" s="31"/>
      <c r="X27" s="31"/>
      <c r="Y27" s="31"/>
      <c r="Z27" s="31"/>
      <c r="AA27" s="31"/>
      <c r="AB27" s="31"/>
      <c r="AC27" s="31"/>
      <c r="AD27" s="31"/>
    </row>
  </sheetData>
  <mergeCells count="27">
    <mergeCell ref="D5:D8"/>
    <mergeCell ref="E5:E8"/>
    <mergeCell ref="F6:F8"/>
    <mergeCell ref="G6:J6"/>
    <mergeCell ref="G7:G8"/>
    <mergeCell ref="H7:J7"/>
    <mergeCell ref="A2:AD2"/>
    <mergeCell ref="A3:AD3"/>
    <mergeCell ref="L7:N7"/>
    <mergeCell ref="O7:O8"/>
    <mergeCell ref="P7:R7"/>
    <mergeCell ref="S7:S8"/>
    <mergeCell ref="T7:V7"/>
    <mergeCell ref="W7:W8"/>
    <mergeCell ref="K5:N6"/>
    <mergeCell ref="O5:R6"/>
    <mergeCell ref="S5:V6"/>
    <mergeCell ref="W5:Z6"/>
    <mergeCell ref="F5:J5"/>
    <mergeCell ref="A5:A8"/>
    <mergeCell ref="B5:B8"/>
    <mergeCell ref="C5:C8"/>
    <mergeCell ref="AA5:AD6"/>
    <mergeCell ref="K7:K8"/>
    <mergeCell ref="X7:Z7"/>
    <mergeCell ref="AA7:AA8"/>
    <mergeCell ref="AB7:AD7"/>
  </mergeCells>
  <pageMargins left="0.7" right="0.7" top="0.75" bottom="0.75" header="0.3" footer="0.3"/>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00B0F0"/>
  </sheetPr>
  <dimension ref="A1:L23"/>
  <sheetViews>
    <sheetView workbookViewId="0">
      <selection activeCell="M17" sqref="M17"/>
    </sheetView>
  </sheetViews>
  <sheetFormatPr defaultRowHeight="15" x14ac:dyDescent="0.25"/>
  <cols>
    <col min="1" max="1" width="5.85546875" customWidth="1"/>
    <col min="2" max="2" width="17" customWidth="1"/>
    <col min="3" max="12" width="11.7109375" customWidth="1"/>
  </cols>
  <sheetData>
    <row r="1" spans="1:12" ht="15.75" x14ac:dyDescent="0.25">
      <c r="L1" s="25" t="s">
        <v>810</v>
      </c>
    </row>
    <row r="2" spans="1:12" ht="15.75" x14ac:dyDescent="0.25">
      <c r="A2" s="448" t="s">
        <v>811</v>
      </c>
      <c r="B2" s="448"/>
      <c r="C2" s="448"/>
      <c r="D2" s="448"/>
      <c r="E2" s="448"/>
      <c r="F2" s="448"/>
      <c r="G2" s="448"/>
      <c r="H2" s="448"/>
      <c r="I2" s="448"/>
      <c r="J2" s="448"/>
      <c r="K2" s="448"/>
      <c r="L2" s="448"/>
    </row>
    <row r="3" spans="1:12" ht="15.75" x14ac:dyDescent="0.25">
      <c r="A3" s="414" t="s">
        <v>126</v>
      </c>
      <c r="B3" s="414"/>
      <c r="C3" s="414"/>
      <c r="D3" s="414"/>
      <c r="E3" s="414"/>
      <c r="F3" s="414"/>
      <c r="G3" s="414"/>
      <c r="H3" s="414"/>
      <c r="I3" s="414"/>
      <c r="J3" s="414"/>
      <c r="K3" s="414"/>
      <c r="L3" s="414"/>
    </row>
    <row r="4" spans="1:12" ht="15.75" x14ac:dyDescent="0.25">
      <c r="L4" s="26" t="s">
        <v>56</v>
      </c>
    </row>
    <row r="5" spans="1:12" ht="15.75" x14ac:dyDescent="0.25">
      <c r="A5" s="449" t="s">
        <v>3</v>
      </c>
      <c r="B5" s="449" t="s">
        <v>812</v>
      </c>
      <c r="C5" s="449" t="s">
        <v>813</v>
      </c>
      <c r="D5" s="449" t="s">
        <v>564</v>
      </c>
      <c r="E5" s="449"/>
      <c r="F5" s="449"/>
      <c r="G5" s="449"/>
      <c r="H5" s="449" t="s">
        <v>814</v>
      </c>
      <c r="I5" s="449"/>
      <c r="J5" s="449"/>
      <c r="K5" s="449"/>
      <c r="L5" s="449" t="s">
        <v>815</v>
      </c>
    </row>
    <row r="6" spans="1:12" ht="35.25" customHeight="1" x14ac:dyDescent="0.25">
      <c r="A6" s="449"/>
      <c r="B6" s="449"/>
      <c r="C6" s="449"/>
      <c r="D6" s="449" t="s">
        <v>566</v>
      </c>
      <c r="E6" s="449"/>
      <c r="F6" s="449" t="s">
        <v>567</v>
      </c>
      <c r="G6" s="449" t="s">
        <v>568</v>
      </c>
      <c r="H6" s="449" t="s">
        <v>566</v>
      </c>
      <c r="I6" s="449"/>
      <c r="J6" s="449" t="s">
        <v>567</v>
      </c>
      <c r="K6" s="449" t="s">
        <v>568</v>
      </c>
      <c r="L6" s="449"/>
    </row>
    <row r="7" spans="1:12" ht="68.25" customHeight="1" x14ac:dyDescent="0.25">
      <c r="A7" s="449"/>
      <c r="B7" s="449"/>
      <c r="C7" s="449"/>
      <c r="D7" s="29" t="s">
        <v>130</v>
      </c>
      <c r="E7" s="29" t="s">
        <v>569</v>
      </c>
      <c r="F7" s="449"/>
      <c r="G7" s="449"/>
      <c r="H7" s="29" t="s">
        <v>130</v>
      </c>
      <c r="I7" s="29" t="s">
        <v>569</v>
      </c>
      <c r="J7" s="449"/>
      <c r="K7" s="449"/>
      <c r="L7" s="449"/>
    </row>
    <row r="8" spans="1:12" s="39" customFormat="1" ht="12.75" x14ac:dyDescent="0.2">
      <c r="A8" s="38" t="s">
        <v>15</v>
      </c>
      <c r="B8" s="38" t="s">
        <v>16</v>
      </c>
      <c r="C8" s="38">
        <v>1</v>
      </c>
      <c r="D8" s="38">
        <v>2</v>
      </c>
      <c r="E8" s="38">
        <v>3</v>
      </c>
      <c r="F8" s="38">
        <v>4</v>
      </c>
      <c r="G8" s="38" t="s">
        <v>685</v>
      </c>
      <c r="H8" s="38">
        <v>6</v>
      </c>
      <c r="I8" s="38">
        <v>7</v>
      </c>
      <c r="J8" s="38">
        <v>8</v>
      </c>
      <c r="K8" s="38" t="s">
        <v>571</v>
      </c>
      <c r="L8" s="38" t="s">
        <v>816</v>
      </c>
    </row>
    <row r="9" spans="1:12" ht="15.75" x14ac:dyDescent="0.25">
      <c r="A9" s="28">
        <v>1</v>
      </c>
      <c r="B9" s="31" t="s">
        <v>573</v>
      </c>
      <c r="C9" s="31"/>
      <c r="D9" s="31"/>
      <c r="E9" s="31"/>
      <c r="F9" s="31"/>
      <c r="G9" s="31"/>
      <c r="H9" s="31"/>
      <c r="I9" s="31"/>
      <c r="J9" s="31"/>
      <c r="K9" s="31"/>
      <c r="L9" s="31"/>
    </row>
    <row r="10" spans="1:12" ht="15.75" x14ac:dyDescent="0.25">
      <c r="A10" s="28">
        <v>2</v>
      </c>
      <c r="B10" s="31" t="s">
        <v>574</v>
      </c>
      <c r="C10" s="31"/>
      <c r="D10" s="31"/>
      <c r="E10" s="31"/>
      <c r="F10" s="31"/>
      <c r="G10" s="31"/>
      <c r="H10" s="31"/>
      <c r="I10" s="31"/>
      <c r="J10" s="31"/>
      <c r="K10" s="31"/>
      <c r="L10" s="31"/>
    </row>
    <row r="11" spans="1:12" ht="15.75" x14ac:dyDescent="0.25">
      <c r="A11" s="28">
        <v>3</v>
      </c>
      <c r="B11" s="31" t="s">
        <v>575</v>
      </c>
      <c r="C11" s="31"/>
      <c r="D11" s="31"/>
      <c r="E11" s="31"/>
      <c r="F11" s="31"/>
      <c r="G11" s="31"/>
      <c r="H11" s="31"/>
      <c r="I11" s="31"/>
      <c r="J11" s="31"/>
      <c r="K11" s="31"/>
      <c r="L11" s="31"/>
    </row>
    <row r="12" spans="1:12" ht="15.75" x14ac:dyDescent="0.25">
      <c r="A12" s="28">
        <v>4</v>
      </c>
      <c r="B12" s="31" t="s">
        <v>478</v>
      </c>
      <c r="C12" s="31"/>
      <c r="D12" s="31"/>
      <c r="E12" s="31"/>
      <c r="F12" s="31"/>
      <c r="G12" s="31"/>
      <c r="H12" s="31"/>
      <c r="I12" s="31"/>
      <c r="J12" s="31"/>
      <c r="K12" s="31"/>
      <c r="L12" s="31"/>
    </row>
    <row r="13" spans="1:12" ht="15.75" x14ac:dyDescent="0.25">
      <c r="A13" s="28">
        <v>5</v>
      </c>
      <c r="B13" s="37"/>
      <c r="C13" s="31"/>
      <c r="D13" s="31"/>
      <c r="E13" s="31"/>
      <c r="F13" s="31"/>
      <c r="G13" s="31"/>
      <c r="H13" s="31"/>
      <c r="I13" s="31"/>
      <c r="J13" s="31"/>
      <c r="K13" s="31"/>
      <c r="L13" s="31"/>
    </row>
    <row r="14" spans="1:12" ht="15.75" x14ac:dyDescent="0.25">
      <c r="A14" s="28">
        <v>6</v>
      </c>
      <c r="B14" s="37"/>
      <c r="C14" s="31"/>
      <c r="D14" s="31"/>
      <c r="E14" s="31"/>
      <c r="F14" s="31"/>
      <c r="G14" s="31"/>
      <c r="H14" s="31"/>
      <c r="I14" s="31"/>
      <c r="J14" s="31"/>
      <c r="K14" s="31"/>
      <c r="L14" s="31"/>
    </row>
    <row r="15" spans="1:12" ht="15.75" x14ac:dyDescent="0.25">
      <c r="A15" s="28">
        <v>7</v>
      </c>
      <c r="B15" s="37"/>
      <c r="C15" s="31"/>
      <c r="D15" s="31"/>
      <c r="E15" s="31"/>
      <c r="F15" s="31"/>
      <c r="G15" s="31"/>
      <c r="H15" s="31"/>
      <c r="I15" s="31"/>
      <c r="J15" s="31"/>
      <c r="K15" s="31"/>
      <c r="L15" s="31"/>
    </row>
    <row r="16" spans="1:12" ht="15.75" x14ac:dyDescent="0.25">
      <c r="A16" s="28">
        <v>8</v>
      </c>
      <c r="B16" s="37"/>
      <c r="C16" s="31"/>
      <c r="D16" s="31"/>
      <c r="E16" s="31"/>
      <c r="F16" s="31"/>
      <c r="G16" s="31"/>
      <c r="H16" s="31"/>
      <c r="I16" s="31"/>
      <c r="J16" s="31"/>
      <c r="K16" s="31"/>
      <c r="L16" s="31"/>
    </row>
    <row r="17" spans="1:12" ht="15.75" x14ac:dyDescent="0.25">
      <c r="A17" s="28">
        <v>9</v>
      </c>
      <c r="B17" s="37"/>
      <c r="C17" s="31"/>
      <c r="D17" s="31"/>
      <c r="E17" s="31"/>
      <c r="F17" s="31"/>
      <c r="G17" s="31"/>
      <c r="H17" s="31"/>
      <c r="I17" s="31"/>
      <c r="J17" s="31"/>
      <c r="K17" s="31"/>
      <c r="L17" s="31"/>
    </row>
    <row r="18" spans="1:12" ht="15.75" x14ac:dyDescent="0.25">
      <c r="A18" s="28">
        <v>10</v>
      </c>
      <c r="B18" s="37"/>
      <c r="C18" s="31"/>
      <c r="D18" s="31"/>
      <c r="E18" s="31"/>
      <c r="F18" s="31"/>
      <c r="G18" s="31"/>
      <c r="H18" s="31"/>
      <c r="I18" s="31"/>
      <c r="J18" s="31"/>
      <c r="K18" s="31"/>
      <c r="L18" s="31"/>
    </row>
    <row r="19" spans="1:12" ht="15.75" x14ac:dyDescent="0.25">
      <c r="A19" s="28">
        <v>11</v>
      </c>
      <c r="B19" s="37"/>
      <c r="C19" s="31"/>
      <c r="D19" s="31"/>
      <c r="E19" s="31"/>
      <c r="F19" s="31"/>
      <c r="G19" s="31"/>
      <c r="H19" s="31"/>
      <c r="I19" s="31"/>
      <c r="J19" s="31"/>
      <c r="K19" s="31"/>
      <c r="L19" s="31"/>
    </row>
    <row r="20" spans="1:12" ht="15.75" x14ac:dyDescent="0.25">
      <c r="A20" s="28">
        <v>12</v>
      </c>
      <c r="B20" s="37"/>
      <c r="C20" s="31"/>
      <c r="D20" s="31"/>
      <c r="E20" s="31"/>
      <c r="F20" s="31"/>
      <c r="G20" s="31"/>
      <c r="H20" s="31"/>
      <c r="I20" s="31"/>
      <c r="J20" s="31"/>
      <c r="K20" s="31"/>
      <c r="L20" s="31"/>
    </row>
    <row r="21" spans="1:12" ht="15.75" x14ac:dyDescent="0.25">
      <c r="A21" s="28">
        <v>13</v>
      </c>
      <c r="B21" s="37"/>
      <c r="C21" s="31"/>
      <c r="D21" s="31"/>
      <c r="E21" s="31"/>
      <c r="F21" s="31"/>
      <c r="G21" s="31"/>
      <c r="H21" s="31"/>
      <c r="I21" s="31"/>
      <c r="J21" s="31"/>
      <c r="K21" s="31"/>
      <c r="L21" s="31"/>
    </row>
    <row r="22" spans="1:12" ht="15.75" x14ac:dyDescent="0.25">
      <c r="A22" s="28">
        <v>14</v>
      </c>
      <c r="B22" s="37"/>
      <c r="C22" s="31"/>
      <c r="D22" s="31"/>
      <c r="E22" s="31"/>
      <c r="F22" s="31"/>
      <c r="G22" s="31"/>
      <c r="H22" s="31"/>
      <c r="I22" s="31"/>
      <c r="J22" s="31"/>
      <c r="K22" s="31"/>
      <c r="L22" s="31"/>
    </row>
    <row r="23" spans="1:12" ht="15.75" x14ac:dyDescent="0.25">
      <c r="A23" s="28">
        <v>15</v>
      </c>
      <c r="B23" s="37"/>
      <c r="C23" s="31"/>
      <c r="D23" s="31"/>
      <c r="E23" s="31"/>
      <c r="F23" s="31"/>
      <c r="G23" s="31"/>
      <c r="H23" s="31"/>
      <c r="I23" s="31"/>
      <c r="J23" s="31"/>
      <c r="K23" s="31"/>
      <c r="L23" s="31"/>
    </row>
  </sheetData>
  <mergeCells count="14">
    <mergeCell ref="A2:L2"/>
    <mergeCell ref="A3:L3"/>
    <mergeCell ref="J6:J7"/>
    <mergeCell ref="K6:K7"/>
    <mergeCell ref="A5:A7"/>
    <mergeCell ref="B5:B7"/>
    <mergeCell ref="C5:C7"/>
    <mergeCell ref="D5:G5"/>
    <mergeCell ref="H5:K5"/>
    <mergeCell ref="L5:L7"/>
    <mergeCell ref="D6:E6"/>
    <mergeCell ref="F6:F7"/>
    <mergeCell ref="G6:G7"/>
    <mergeCell ref="H6:I6"/>
  </mergeCells>
  <pageMargins left="0.7" right="0.7" top="0.75" bottom="0.75" header="0.3" footer="0.3"/>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rgb="FF00B0F0"/>
  </sheetPr>
  <dimension ref="A1:E20"/>
  <sheetViews>
    <sheetView workbookViewId="0">
      <selection activeCell="M17" sqref="M17"/>
    </sheetView>
  </sheetViews>
  <sheetFormatPr defaultRowHeight="15" x14ac:dyDescent="0.25"/>
  <cols>
    <col min="1" max="1" width="6.28515625" customWidth="1"/>
    <col min="2" max="2" width="42" customWidth="1"/>
    <col min="3" max="5" width="13.5703125" customWidth="1"/>
  </cols>
  <sheetData>
    <row r="1" spans="1:5" ht="15.75" x14ac:dyDescent="0.25">
      <c r="E1" s="25" t="s">
        <v>817</v>
      </c>
    </row>
    <row r="2" spans="1:5" ht="15.75" x14ac:dyDescent="0.25">
      <c r="A2" s="414" t="s">
        <v>818</v>
      </c>
      <c r="B2" s="414"/>
      <c r="C2" s="414"/>
      <c r="D2" s="414"/>
      <c r="E2" s="414"/>
    </row>
    <row r="3" spans="1:5" ht="15.75" x14ac:dyDescent="0.25">
      <c r="A3" s="414" t="s">
        <v>819</v>
      </c>
      <c r="B3" s="414"/>
      <c r="C3" s="414"/>
      <c r="D3" s="414"/>
      <c r="E3" s="414"/>
    </row>
    <row r="4" spans="1:5" ht="15.75" x14ac:dyDescent="0.25">
      <c r="A4" s="414" t="s">
        <v>126</v>
      </c>
      <c r="B4" s="414"/>
      <c r="C4" s="414"/>
      <c r="D4" s="414"/>
      <c r="E4" s="414"/>
    </row>
    <row r="5" spans="1:5" ht="15.75" x14ac:dyDescent="0.25">
      <c r="E5" s="26" t="s">
        <v>56</v>
      </c>
    </row>
    <row r="6" spans="1:5" ht="31.5" x14ac:dyDescent="0.25">
      <c r="A6" s="29" t="s">
        <v>3</v>
      </c>
      <c r="B6" s="29" t="s">
        <v>4</v>
      </c>
      <c r="C6" s="29" t="s">
        <v>564</v>
      </c>
      <c r="D6" s="29" t="s">
        <v>814</v>
      </c>
      <c r="E6" s="29" t="s">
        <v>366</v>
      </c>
    </row>
    <row r="7" spans="1:5" s="39" customFormat="1" ht="12.75" x14ac:dyDescent="0.2">
      <c r="A7" s="38" t="s">
        <v>15</v>
      </c>
      <c r="B7" s="38" t="s">
        <v>16</v>
      </c>
      <c r="C7" s="38">
        <v>1</v>
      </c>
      <c r="D7" s="38">
        <v>2</v>
      </c>
      <c r="E7" s="38" t="s">
        <v>269</v>
      </c>
    </row>
    <row r="8" spans="1:5" ht="19.5" customHeight="1" x14ac:dyDescent="0.25">
      <c r="A8" s="28"/>
      <c r="B8" s="30" t="s">
        <v>133</v>
      </c>
      <c r="C8" s="31"/>
      <c r="D8" s="31"/>
      <c r="E8" s="31"/>
    </row>
    <row r="9" spans="1:5" ht="19.5" customHeight="1" x14ac:dyDescent="0.25">
      <c r="A9" s="28">
        <v>1</v>
      </c>
      <c r="B9" s="31" t="s">
        <v>579</v>
      </c>
      <c r="C9" s="31"/>
      <c r="D9" s="31"/>
      <c r="E9" s="31"/>
    </row>
    <row r="10" spans="1:5" ht="19.5" customHeight="1" x14ac:dyDescent="0.25">
      <c r="A10" s="28" t="s">
        <v>22</v>
      </c>
      <c r="B10" s="32" t="s">
        <v>580</v>
      </c>
      <c r="C10" s="31"/>
      <c r="D10" s="31"/>
      <c r="E10" s="31"/>
    </row>
    <row r="11" spans="1:5" ht="19.5" customHeight="1" x14ac:dyDescent="0.25">
      <c r="A11" s="28" t="s">
        <v>22</v>
      </c>
      <c r="B11" s="32" t="s">
        <v>581</v>
      </c>
      <c r="C11" s="31"/>
      <c r="D11" s="31"/>
      <c r="E11" s="31"/>
    </row>
    <row r="12" spans="1:5" ht="19.5" customHeight="1" x14ac:dyDescent="0.25">
      <c r="A12" s="28">
        <v>2</v>
      </c>
      <c r="B12" s="31" t="s">
        <v>582</v>
      </c>
      <c r="C12" s="31"/>
      <c r="D12" s="31"/>
      <c r="E12" s="31"/>
    </row>
    <row r="13" spans="1:5" ht="19.5" customHeight="1" x14ac:dyDescent="0.25">
      <c r="A13" s="28">
        <v>3</v>
      </c>
      <c r="B13" s="31" t="s">
        <v>583</v>
      </c>
      <c r="C13" s="31"/>
      <c r="D13" s="31"/>
      <c r="E13" s="31"/>
    </row>
    <row r="14" spans="1:5" ht="19.5" customHeight="1" x14ac:dyDescent="0.25">
      <c r="A14" s="28">
        <v>4</v>
      </c>
      <c r="B14" s="31" t="s">
        <v>584</v>
      </c>
      <c r="C14" s="31"/>
      <c r="D14" s="31"/>
      <c r="E14" s="31"/>
    </row>
    <row r="15" spans="1:5" ht="19.5" customHeight="1" x14ac:dyDescent="0.25">
      <c r="A15" s="28">
        <v>5</v>
      </c>
      <c r="B15" s="31" t="s">
        <v>585</v>
      </c>
      <c r="C15" s="31"/>
      <c r="D15" s="31"/>
      <c r="E15" s="31"/>
    </row>
    <row r="16" spans="1:5" ht="19.5" customHeight="1" x14ac:dyDescent="0.25">
      <c r="A16" s="28">
        <v>6</v>
      </c>
      <c r="B16" s="31" t="s">
        <v>586</v>
      </c>
      <c r="C16" s="31"/>
      <c r="D16" s="31"/>
      <c r="E16" s="31"/>
    </row>
    <row r="17" spans="1:5" ht="19.5" customHeight="1" x14ac:dyDescent="0.25">
      <c r="A17" s="28">
        <v>7</v>
      </c>
      <c r="B17" s="31" t="s">
        <v>653</v>
      </c>
      <c r="C17" s="31"/>
      <c r="D17" s="31"/>
      <c r="E17" s="31"/>
    </row>
    <row r="18" spans="1:5" ht="19.5" customHeight="1" x14ac:dyDescent="0.25">
      <c r="A18" s="28">
        <v>8</v>
      </c>
      <c r="B18" s="31"/>
      <c r="C18" s="31"/>
      <c r="D18" s="31"/>
      <c r="E18" s="31"/>
    </row>
    <row r="19" spans="1:5" ht="19.5" customHeight="1" x14ac:dyDescent="0.25">
      <c r="A19" s="28">
        <v>9</v>
      </c>
      <c r="B19" s="31"/>
      <c r="C19" s="31"/>
      <c r="D19" s="31"/>
      <c r="E19" s="31"/>
    </row>
    <row r="20" spans="1:5" ht="19.5" customHeight="1" x14ac:dyDescent="0.25">
      <c r="A20" s="28">
        <v>10</v>
      </c>
      <c r="B20" s="31"/>
      <c r="C20" s="31"/>
      <c r="D20" s="31"/>
      <c r="E20" s="31"/>
    </row>
  </sheetData>
  <mergeCells count="3">
    <mergeCell ref="A2:E2"/>
    <mergeCell ref="A3:E3"/>
    <mergeCell ref="A4:E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00B050"/>
  </sheetPr>
  <dimension ref="A1:O72"/>
  <sheetViews>
    <sheetView workbookViewId="0">
      <selection activeCell="J8" sqref="J8:J15"/>
    </sheetView>
  </sheetViews>
  <sheetFormatPr defaultColWidth="9.140625" defaultRowHeight="14.25" customHeight="1" x14ac:dyDescent="0.25"/>
  <cols>
    <col min="1" max="1" width="6.140625" style="1" customWidth="1"/>
    <col min="2" max="2" width="29.42578125" style="1" customWidth="1"/>
    <col min="3" max="3" width="13.7109375" style="1" customWidth="1"/>
    <col min="4" max="4" width="10.7109375" style="1" customWidth="1"/>
    <col min="5" max="5" width="11.140625" style="1" customWidth="1"/>
    <col min="6" max="6" width="10" style="1" customWidth="1"/>
    <col min="7" max="7" width="10.85546875" style="1" customWidth="1"/>
    <col min="8" max="8" width="10.42578125" style="1" customWidth="1"/>
    <col min="9" max="9" width="10.5703125" style="1" customWidth="1"/>
    <col min="10" max="10" width="10.7109375" style="1" customWidth="1"/>
    <col min="11" max="11" width="11.140625" style="1" customWidth="1"/>
    <col min="12" max="16384" width="9.140625" style="1"/>
  </cols>
  <sheetData>
    <row r="1" spans="1:15" ht="14.25" customHeight="1" x14ac:dyDescent="0.25">
      <c r="B1" s="82"/>
      <c r="C1" s="82"/>
      <c r="D1" s="82"/>
      <c r="E1" s="82"/>
      <c r="F1" s="82"/>
      <c r="G1" s="82"/>
      <c r="H1" s="82"/>
      <c r="I1" s="82"/>
      <c r="J1" s="423" t="s">
        <v>354</v>
      </c>
      <c r="K1" s="423"/>
      <c r="L1" s="423"/>
      <c r="M1" s="423"/>
      <c r="N1" s="82"/>
      <c r="O1" s="82"/>
    </row>
    <row r="2" spans="1:15" ht="18.75" x14ac:dyDescent="0.25">
      <c r="A2" s="417" t="s">
        <v>1282</v>
      </c>
      <c r="B2" s="417"/>
      <c r="C2" s="417"/>
      <c r="D2" s="417"/>
      <c r="E2" s="417"/>
      <c r="F2" s="417"/>
      <c r="G2" s="417"/>
      <c r="H2" s="417"/>
      <c r="I2" s="417"/>
      <c r="J2" s="417"/>
      <c r="K2" s="417"/>
      <c r="L2" s="417"/>
      <c r="M2" s="417"/>
      <c r="N2" s="81"/>
      <c r="O2" s="81"/>
    </row>
    <row r="3" spans="1:15" ht="18.75" x14ac:dyDescent="0.25">
      <c r="A3" s="443" t="s">
        <v>1291</v>
      </c>
      <c r="B3" s="443"/>
      <c r="C3" s="443"/>
      <c r="D3" s="443"/>
      <c r="E3" s="443"/>
      <c r="F3" s="443"/>
      <c r="G3" s="443"/>
      <c r="H3" s="443"/>
      <c r="I3" s="443"/>
      <c r="J3" s="443"/>
      <c r="K3" s="443"/>
      <c r="L3" s="443"/>
      <c r="M3" s="443"/>
      <c r="N3" s="81"/>
      <c r="O3" s="81"/>
    </row>
    <row r="4" spans="1:15" ht="18.75" hidden="1" x14ac:dyDescent="0.25">
      <c r="A4" s="443" t="s">
        <v>1283</v>
      </c>
      <c r="B4" s="443"/>
      <c r="C4" s="443"/>
      <c r="D4" s="443"/>
      <c r="E4" s="443"/>
      <c r="F4" s="443"/>
      <c r="G4" s="443"/>
      <c r="H4" s="443"/>
      <c r="I4" s="443"/>
      <c r="J4" s="443"/>
      <c r="K4" s="443"/>
      <c r="L4" s="443"/>
      <c r="M4" s="443"/>
      <c r="N4" s="81"/>
      <c r="O4" s="81"/>
    </row>
    <row r="5" spans="1:15" ht="18.75" hidden="1" customHeight="1" x14ac:dyDescent="0.25">
      <c r="A5" s="443" t="s">
        <v>1283</v>
      </c>
      <c r="B5" s="443"/>
      <c r="C5" s="443"/>
      <c r="D5" s="443"/>
      <c r="E5" s="443"/>
      <c r="F5" s="443"/>
      <c r="G5" s="443"/>
      <c r="H5" s="443"/>
      <c r="I5" s="443"/>
      <c r="J5" s="443"/>
      <c r="K5" s="443"/>
      <c r="L5" s="443"/>
      <c r="M5" s="443"/>
      <c r="N5" s="158"/>
      <c r="O5" s="82"/>
    </row>
    <row r="6" spans="1:15" ht="14.25" customHeight="1" x14ac:dyDescent="0.25">
      <c r="J6" s="424" t="s">
        <v>56</v>
      </c>
      <c r="K6" s="424"/>
      <c r="L6" s="424"/>
      <c r="M6" s="424"/>
    </row>
    <row r="7" spans="1:15" s="146" customFormat="1" ht="23.25" customHeight="1" x14ac:dyDescent="0.25">
      <c r="A7" s="441" t="s">
        <v>1098</v>
      </c>
      <c r="B7" s="441" t="s">
        <v>1099</v>
      </c>
      <c r="C7" s="441" t="s">
        <v>1100</v>
      </c>
      <c r="D7" s="441" t="s">
        <v>1230</v>
      </c>
      <c r="E7" s="442" t="s">
        <v>1101</v>
      </c>
      <c r="F7" s="442"/>
      <c r="G7" s="442"/>
      <c r="H7" s="442"/>
      <c r="I7" s="442"/>
      <c r="J7" s="442"/>
      <c r="K7" s="442"/>
      <c r="L7" s="441" t="s">
        <v>1231</v>
      </c>
      <c r="M7" s="441" t="s">
        <v>1232</v>
      </c>
      <c r="N7" s="145"/>
      <c r="O7" s="145"/>
    </row>
    <row r="8" spans="1:15" s="146" customFormat="1" ht="14.25" customHeight="1" x14ac:dyDescent="0.25">
      <c r="A8" s="442"/>
      <c r="B8" s="442"/>
      <c r="C8" s="442"/>
      <c r="D8" s="442"/>
      <c r="E8" s="441" t="s">
        <v>1229</v>
      </c>
      <c r="F8" s="441" t="s">
        <v>1102</v>
      </c>
      <c r="G8" s="441" t="s">
        <v>1103</v>
      </c>
      <c r="H8" s="441" t="s">
        <v>1104</v>
      </c>
      <c r="I8" s="441" t="s">
        <v>1105</v>
      </c>
      <c r="J8" s="441" t="s">
        <v>1106</v>
      </c>
      <c r="K8" s="441" t="s">
        <v>1107</v>
      </c>
      <c r="L8" s="442"/>
      <c r="M8" s="442"/>
      <c r="N8" s="145"/>
      <c r="O8" s="145"/>
    </row>
    <row r="9" spans="1:15" s="146" customFormat="1" ht="14.25" customHeight="1" x14ac:dyDescent="0.25">
      <c r="A9" s="442"/>
      <c r="B9" s="442"/>
      <c r="C9" s="442"/>
      <c r="D9" s="442"/>
      <c r="E9" s="442"/>
      <c r="F9" s="442"/>
      <c r="G9" s="442"/>
      <c r="H9" s="442"/>
      <c r="I9" s="442"/>
      <c r="J9" s="441"/>
      <c r="K9" s="442"/>
      <c r="L9" s="442"/>
      <c r="M9" s="442"/>
      <c r="N9" s="145"/>
      <c r="O9" s="145"/>
    </row>
    <row r="10" spans="1:15" s="146" customFormat="1" ht="14.25" customHeight="1" x14ac:dyDescent="0.25">
      <c r="A10" s="442"/>
      <c r="B10" s="442"/>
      <c r="C10" s="442"/>
      <c r="D10" s="442"/>
      <c r="E10" s="442"/>
      <c r="F10" s="442"/>
      <c r="G10" s="442"/>
      <c r="H10" s="442"/>
      <c r="I10" s="442"/>
      <c r="J10" s="441"/>
      <c r="K10" s="442"/>
      <c r="L10" s="442"/>
      <c r="M10" s="442"/>
      <c r="N10" s="145"/>
      <c r="O10" s="145"/>
    </row>
    <row r="11" spans="1:15" s="146" customFormat="1" ht="14.25" customHeight="1" x14ac:dyDescent="0.25">
      <c r="A11" s="442"/>
      <c r="B11" s="442"/>
      <c r="C11" s="442"/>
      <c r="D11" s="442"/>
      <c r="E11" s="442"/>
      <c r="F11" s="442"/>
      <c r="G11" s="442"/>
      <c r="H11" s="442"/>
      <c r="I11" s="442"/>
      <c r="J11" s="441"/>
      <c r="K11" s="442"/>
      <c r="L11" s="442"/>
      <c r="M11" s="442"/>
      <c r="N11" s="145"/>
      <c r="O11" s="145"/>
    </row>
    <row r="12" spans="1:15" s="146" customFormat="1" ht="14.25" customHeight="1" x14ac:dyDescent="0.25">
      <c r="A12" s="442"/>
      <c r="B12" s="442"/>
      <c r="C12" s="442"/>
      <c r="D12" s="442"/>
      <c r="E12" s="442"/>
      <c r="F12" s="442"/>
      <c r="G12" s="442"/>
      <c r="H12" s="442"/>
      <c r="I12" s="442"/>
      <c r="J12" s="441"/>
      <c r="K12" s="442"/>
      <c r="L12" s="442"/>
      <c r="M12" s="442"/>
      <c r="N12" s="145"/>
      <c r="O12" s="145"/>
    </row>
    <row r="13" spans="1:15" s="146" customFormat="1" ht="14.25" customHeight="1" x14ac:dyDescent="0.25">
      <c r="A13" s="442"/>
      <c r="B13" s="442"/>
      <c r="C13" s="442"/>
      <c r="D13" s="442"/>
      <c r="E13" s="442"/>
      <c r="F13" s="442"/>
      <c r="G13" s="442"/>
      <c r="H13" s="442"/>
      <c r="I13" s="442"/>
      <c r="J13" s="441"/>
      <c r="K13" s="442"/>
      <c r="L13" s="442"/>
      <c r="M13" s="442"/>
      <c r="N13" s="145"/>
      <c r="O13" s="145"/>
    </row>
    <row r="14" spans="1:15" s="146" customFormat="1" ht="14.25" customHeight="1" x14ac:dyDescent="0.25">
      <c r="A14" s="442"/>
      <c r="B14" s="442"/>
      <c r="C14" s="442"/>
      <c r="D14" s="442"/>
      <c r="E14" s="442"/>
      <c r="F14" s="442"/>
      <c r="G14" s="442"/>
      <c r="H14" s="442"/>
      <c r="I14" s="442"/>
      <c r="J14" s="441"/>
      <c r="K14" s="442"/>
      <c r="L14" s="442"/>
      <c r="M14" s="442"/>
      <c r="N14" s="145"/>
      <c r="O14" s="145"/>
    </row>
    <row r="15" spans="1:15" s="146" customFormat="1" ht="12.75" customHeight="1" x14ac:dyDescent="0.25">
      <c r="A15" s="442"/>
      <c r="B15" s="442"/>
      <c r="C15" s="442"/>
      <c r="D15" s="442"/>
      <c r="E15" s="442"/>
      <c r="F15" s="442"/>
      <c r="G15" s="442"/>
      <c r="H15" s="442"/>
      <c r="I15" s="442"/>
      <c r="J15" s="441"/>
      <c r="K15" s="442"/>
      <c r="L15" s="442"/>
      <c r="M15" s="442"/>
      <c r="N15" s="145"/>
      <c r="O15" s="145"/>
    </row>
    <row r="16" spans="1:15" s="146" customFormat="1" ht="20.100000000000001" customHeight="1" x14ac:dyDescent="0.25">
      <c r="A16" s="153" t="s">
        <v>15</v>
      </c>
      <c r="B16" s="154" t="s">
        <v>16</v>
      </c>
      <c r="C16" s="155" t="s">
        <v>981</v>
      </c>
      <c r="D16" s="155" t="s">
        <v>982</v>
      </c>
      <c r="E16" s="155" t="s">
        <v>983</v>
      </c>
      <c r="F16" s="155" t="s">
        <v>984</v>
      </c>
      <c r="G16" s="155" t="s">
        <v>985</v>
      </c>
      <c r="H16" s="155" t="s">
        <v>986</v>
      </c>
      <c r="I16" s="155" t="s">
        <v>987</v>
      </c>
      <c r="J16" s="155" t="s">
        <v>988</v>
      </c>
      <c r="K16" s="155" t="s">
        <v>989</v>
      </c>
      <c r="L16" s="155" t="s">
        <v>990</v>
      </c>
      <c r="M16" s="155" t="s">
        <v>991</v>
      </c>
      <c r="N16" s="145"/>
      <c r="O16" s="145"/>
    </row>
    <row r="17" spans="1:15" s="146" customFormat="1" ht="20.100000000000001" customHeight="1" x14ac:dyDescent="0.25">
      <c r="A17" s="142"/>
      <c r="B17" s="143" t="s">
        <v>1108</v>
      </c>
      <c r="C17" s="144">
        <f t="shared" ref="C17:K17" si="0">SUM(C18:C33)</f>
        <v>68635</v>
      </c>
      <c r="D17" s="144">
        <f t="shared" si="0"/>
        <v>68635</v>
      </c>
      <c r="E17" s="144">
        <f t="shared" si="0"/>
        <v>26880</v>
      </c>
      <c r="F17" s="156">
        <f t="shared" si="0"/>
        <v>0</v>
      </c>
      <c r="G17" s="144">
        <f t="shared" si="0"/>
        <v>12000</v>
      </c>
      <c r="H17" s="144">
        <f t="shared" si="0"/>
        <v>1785</v>
      </c>
      <c r="I17" s="144">
        <f t="shared" si="0"/>
        <v>22720</v>
      </c>
      <c r="J17" s="144">
        <f t="shared" si="0"/>
        <v>2750</v>
      </c>
      <c r="K17" s="144">
        <f t="shared" si="0"/>
        <v>2500</v>
      </c>
      <c r="L17" s="144"/>
      <c r="M17" s="144"/>
      <c r="N17" s="145"/>
      <c r="O17" s="145"/>
    </row>
    <row r="18" spans="1:15" s="146" customFormat="1" ht="20.100000000000001" customHeight="1" x14ac:dyDescent="0.25">
      <c r="A18" s="147">
        <v>1</v>
      </c>
      <c r="B18" s="148" t="s">
        <v>936</v>
      </c>
      <c r="C18" s="149">
        <f>D18</f>
        <v>63830</v>
      </c>
      <c r="D18" s="149">
        <f>SUM(E18:K18)</f>
        <v>63830</v>
      </c>
      <c r="E18" s="149">
        <v>26880</v>
      </c>
      <c r="F18" s="149"/>
      <c r="G18" s="149">
        <v>12000</v>
      </c>
      <c r="H18" s="149">
        <v>1785</v>
      </c>
      <c r="I18" s="149">
        <v>20795</v>
      </c>
      <c r="J18" s="149">
        <v>1140</v>
      </c>
      <c r="K18" s="149">
        <v>1230</v>
      </c>
      <c r="L18" s="149"/>
      <c r="M18" s="149"/>
      <c r="N18" s="145"/>
      <c r="O18" s="145"/>
    </row>
    <row r="19" spans="1:15" s="146" customFormat="1" ht="20.100000000000001" customHeight="1" x14ac:dyDescent="0.25">
      <c r="A19" s="147">
        <f>A18+1</f>
        <v>2</v>
      </c>
      <c r="B19" s="148" t="s">
        <v>938</v>
      </c>
      <c r="C19" s="149">
        <f t="shared" ref="C19:C33" si="1">D19</f>
        <v>480</v>
      </c>
      <c r="D19" s="149">
        <f t="shared" ref="D19:D33" si="2">SUM(E19:K19)</f>
        <v>480</v>
      </c>
      <c r="E19" s="149"/>
      <c r="F19" s="149"/>
      <c r="G19" s="149"/>
      <c r="H19" s="149"/>
      <c r="I19" s="149">
        <v>230</v>
      </c>
      <c r="J19" s="149">
        <v>170</v>
      </c>
      <c r="K19" s="149">
        <v>80</v>
      </c>
      <c r="L19" s="149"/>
      <c r="M19" s="149"/>
      <c r="N19" s="145"/>
      <c r="O19" s="145"/>
    </row>
    <row r="20" spans="1:15" s="146" customFormat="1" ht="20.100000000000001" customHeight="1" x14ac:dyDescent="0.25">
      <c r="A20" s="147">
        <f t="shared" ref="A20:A33" si="3">A19+1</f>
        <v>3</v>
      </c>
      <c r="B20" s="148" t="s">
        <v>939</v>
      </c>
      <c r="C20" s="149">
        <f t="shared" si="1"/>
        <v>365</v>
      </c>
      <c r="D20" s="149">
        <f t="shared" si="2"/>
        <v>365</v>
      </c>
      <c r="E20" s="149"/>
      <c r="F20" s="149"/>
      <c r="G20" s="149"/>
      <c r="H20" s="149"/>
      <c r="I20" s="149">
        <v>60</v>
      </c>
      <c r="J20" s="149">
        <v>205</v>
      </c>
      <c r="K20" s="149">
        <v>100</v>
      </c>
      <c r="L20" s="149"/>
      <c r="M20" s="149"/>
      <c r="N20" s="145"/>
      <c r="O20" s="145"/>
    </row>
    <row r="21" spans="1:15" s="146" customFormat="1" ht="20.100000000000001" customHeight="1" x14ac:dyDescent="0.25">
      <c r="A21" s="147">
        <f t="shared" si="3"/>
        <v>4</v>
      </c>
      <c r="B21" s="148" t="s">
        <v>940</v>
      </c>
      <c r="C21" s="149">
        <f t="shared" si="1"/>
        <v>590</v>
      </c>
      <c r="D21" s="149">
        <f t="shared" si="2"/>
        <v>590</v>
      </c>
      <c r="E21" s="149"/>
      <c r="F21" s="149"/>
      <c r="G21" s="149"/>
      <c r="H21" s="149"/>
      <c r="I21" s="149">
        <v>240</v>
      </c>
      <c r="J21" s="149">
        <v>230</v>
      </c>
      <c r="K21" s="149">
        <v>120</v>
      </c>
      <c r="L21" s="149"/>
      <c r="M21" s="149"/>
      <c r="N21" s="145"/>
      <c r="O21" s="145"/>
    </row>
    <row r="22" spans="1:15" s="146" customFormat="1" ht="20.100000000000001" customHeight="1" x14ac:dyDescent="0.25">
      <c r="A22" s="147">
        <f t="shared" si="3"/>
        <v>5</v>
      </c>
      <c r="B22" s="148" t="s">
        <v>941</v>
      </c>
      <c r="C22" s="149">
        <f t="shared" si="1"/>
        <v>610</v>
      </c>
      <c r="D22" s="149">
        <f t="shared" si="2"/>
        <v>610</v>
      </c>
      <c r="E22" s="149"/>
      <c r="F22" s="149"/>
      <c r="G22" s="149"/>
      <c r="H22" s="149"/>
      <c r="I22" s="149">
        <v>340</v>
      </c>
      <c r="J22" s="149">
        <v>160</v>
      </c>
      <c r="K22" s="149">
        <v>110</v>
      </c>
      <c r="L22" s="149"/>
      <c r="M22" s="149"/>
      <c r="N22" s="145"/>
      <c r="O22" s="145"/>
    </row>
    <row r="23" spans="1:15" s="146" customFormat="1" ht="20.100000000000001" customHeight="1" x14ac:dyDescent="0.25">
      <c r="A23" s="147">
        <f t="shared" si="3"/>
        <v>6</v>
      </c>
      <c r="B23" s="148" t="s">
        <v>942</v>
      </c>
      <c r="C23" s="149">
        <f t="shared" si="1"/>
        <v>460</v>
      </c>
      <c r="D23" s="149">
        <f t="shared" si="2"/>
        <v>460</v>
      </c>
      <c r="E23" s="149"/>
      <c r="F23" s="149"/>
      <c r="G23" s="149"/>
      <c r="H23" s="149"/>
      <c r="I23" s="149">
        <v>240</v>
      </c>
      <c r="J23" s="149">
        <v>110</v>
      </c>
      <c r="K23" s="149">
        <v>110</v>
      </c>
      <c r="L23" s="149"/>
      <c r="M23" s="149"/>
      <c r="N23" s="145"/>
      <c r="O23" s="145"/>
    </row>
    <row r="24" spans="1:15" s="146" customFormat="1" ht="20.100000000000001" customHeight="1" x14ac:dyDescent="0.25">
      <c r="A24" s="147">
        <f t="shared" si="3"/>
        <v>7</v>
      </c>
      <c r="B24" s="148" t="s">
        <v>943</v>
      </c>
      <c r="C24" s="149">
        <f t="shared" si="1"/>
        <v>320</v>
      </c>
      <c r="D24" s="149">
        <f t="shared" si="2"/>
        <v>320</v>
      </c>
      <c r="E24" s="149"/>
      <c r="F24" s="149"/>
      <c r="G24" s="149"/>
      <c r="H24" s="149"/>
      <c r="I24" s="149">
        <v>140</v>
      </c>
      <c r="J24" s="149">
        <v>110</v>
      </c>
      <c r="K24" s="149">
        <v>70</v>
      </c>
      <c r="L24" s="149"/>
      <c r="M24" s="149"/>
      <c r="N24" s="145"/>
      <c r="O24" s="145"/>
    </row>
    <row r="25" spans="1:15" s="146" customFormat="1" ht="20.100000000000001" customHeight="1" x14ac:dyDescent="0.25">
      <c r="A25" s="147">
        <f t="shared" si="3"/>
        <v>8</v>
      </c>
      <c r="B25" s="148" t="s">
        <v>944</v>
      </c>
      <c r="C25" s="149">
        <f t="shared" si="1"/>
        <v>60</v>
      </c>
      <c r="D25" s="149">
        <f t="shared" si="2"/>
        <v>60</v>
      </c>
      <c r="E25" s="149"/>
      <c r="F25" s="149"/>
      <c r="G25" s="149"/>
      <c r="H25" s="149"/>
      <c r="I25" s="149">
        <v>15</v>
      </c>
      <c r="J25" s="149">
        <v>25</v>
      </c>
      <c r="K25" s="149">
        <v>20</v>
      </c>
      <c r="L25" s="149"/>
      <c r="M25" s="149"/>
      <c r="N25" s="145"/>
      <c r="O25" s="145"/>
    </row>
    <row r="26" spans="1:15" s="146" customFormat="1" ht="20.100000000000001" customHeight="1" x14ac:dyDescent="0.25">
      <c r="A26" s="147">
        <f t="shared" si="3"/>
        <v>9</v>
      </c>
      <c r="B26" s="148" t="s">
        <v>945</v>
      </c>
      <c r="C26" s="149">
        <f t="shared" si="1"/>
        <v>260</v>
      </c>
      <c r="D26" s="149">
        <f t="shared" si="2"/>
        <v>260</v>
      </c>
      <c r="E26" s="149"/>
      <c r="F26" s="149"/>
      <c r="G26" s="149"/>
      <c r="H26" s="149"/>
      <c r="I26" s="149">
        <v>140</v>
      </c>
      <c r="J26" s="149">
        <v>60</v>
      </c>
      <c r="K26" s="149">
        <v>60</v>
      </c>
      <c r="L26" s="149"/>
      <c r="M26" s="149"/>
      <c r="N26" s="145"/>
      <c r="O26" s="145"/>
    </row>
    <row r="27" spans="1:15" s="146" customFormat="1" ht="20.100000000000001" customHeight="1" x14ac:dyDescent="0.25">
      <c r="A27" s="147">
        <f t="shared" si="3"/>
        <v>10</v>
      </c>
      <c r="B27" s="148" t="s">
        <v>946</v>
      </c>
      <c r="C27" s="149">
        <f t="shared" si="1"/>
        <v>210</v>
      </c>
      <c r="D27" s="149">
        <f t="shared" si="2"/>
        <v>210</v>
      </c>
      <c r="E27" s="149"/>
      <c r="F27" s="149"/>
      <c r="G27" s="149"/>
      <c r="H27" s="149"/>
      <c r="I27" s="149">
        <v>40</v>
      </c>
      <c r="J27" s="149">
        <v>80</v>
      </c>
      <c r="K27" s="149">
        <v>90</v>
      </c>
      <c r="L27" s="149"/>
      <c r="M27" s="149"/>
      <c r="N27" s="145"/>
      <c r="O27" s="145"/>
    </row>
    <row r="28" spans="1:15" s="146" customFormat="1" ht="20.100000000000001" customHeight="1" x14ac:dyDescent="0.25">
      <c r="A28" s="147">
        <f t="shared" si="3"/>
        <v>11</v>
      </c>
      <c r="B28" s="148" t="s">
        <v>1090</v>
      </c>
      <c r="C28" s="149">
        <f t="shared" si="1"/>
        <v>180</v>
      </c>
      <c r="D28" s="149">
        <f t="shared" si="2"/>
        <v>180</v>
      </c>
      <c r="E28" s="149"/>
      <c r="F28" s="149"/>
      <c r="G28" s="149"/>
      <c r="H28" s="149"/>
      <c r="I28" s="149">
        <v>40</v>
      </c>
      <c r="J28" s="149">
        <v>30</v>
      </c>
      <c r="K28" s="149">
        <v>110</v>
      </c>
      <c r="L28" s="149"/>
      <c r="M28" s="149"/>
      <c r="N28" s="145"/>
      <c r="O28" s="145"/>
    </row>
    <row r="29" spans="1:15" s="146" customFormat="1" ht="20.100000000000001" customHeight="1" x14ac:dyDescent="0.25">
      <c r="A29" s="147">
        <f t="shared" si="3"/>
        <v>12</v>
      </c>
      <c r="B29" s="148" t="s">
        <v>947</v>
      </c>
      <c r="C29" s="149">
        <f t="shared" si="1"/>
        <v>160</v>
      </c>
      <c r="D29" s="149">
        <f t="shared" si="2"/>
        <v>160</v>
      </c>
      <c r="E29" s="149"/>
      <c r="F29" s="149"/>
      <c r="G29" s="149"/>
      <c r="H29" s="149"/>
      <c r="I29" s="149">
        <v>40</v>
      </c>
      <c r="J29" s="149">
        <v>50</v>
      </c>
      <c r="K29" s="149">
        <v>70</v>
      </c>
      <c r="L29" s="149"/>
      <c r="M29" s="149"/>
      <c r="N29" s="145"/>
      <c r="O29" s="145"/>
    </row>
    <row r="30" spans="1:15" s="146" customFormat="1" ht="20.100000000000001" customHeight="1" x14ac:dyDescent="0.25">
      <c r="A30" s="147">
        <f t="shared" si="3"/>
        <v>13</v>
      </c>
      <c r="B30" s="148" t="s">
        <v>948</v>
      </c>
      <c r="C30" s="149">
        <f t="shared" si="1"/>
        <v>280</v>
      </c>
      <c r="D30" s="149">
        <f t="shared" si="2"/>
        <v>280</v>
      </c>
      <c r="E30" s="149"/>
      <c r="F30" s="149"/>
      <c r="G30" s="149"/>
      <c r="H30" s="149"/>
      <c r="I30" s="149">
        <v>80</v>
      </c>
      <c r="J30" s="149">
        <v>80</v>
      </c>
      <c r="K30" s="149">
        <v>120</v>
      </c>
      <c r="L30" s="149"/>
      <c r="M30" s="149"/>
      <c r="N30" s="145"/>
      <c r="O30" s="145"/>
    </row>
    <row r="31" spans="1:15" s="146" customFormat="1" ht="20.100000000000001" customHeight="1" x14ac:dyDescent="0.25">
      <c r="A31" s="147">
        <f t="shared" si="3"/>
        <v>14</v>
      </c>
      <c r="B31" s="148" t="s">
        <v>949</v>
      </c>
      <c r="C31" s="149">
        <f t="shared" si="1"/>
        <v>330</v>
      </c>
      <c r="D31" s="149">
        <f t="shared" si="2"/>
        <v>330</v>
      </c>
      <c r="E31" s="149"/>
      <c r="F31" s="149"/>
      <c r="G31" s="149"/>
      <c r="H31" s="149"/>
      <c r="I31" s="149">
        <v>140</v>
      </c>
      <c r="J31" s="149">
        <v>90</v>
      </c>
      <c r="K31" s="149">
        <v>100</v>
      </c>
      <c r="L31" s="149"/>
      <c r="M31" s="149"/>
      <c r="N31" s="145"/>
      <c r="O31" s="145"/>
    </row>
    <row r="32" spans="1:15" s="146" customFormat="1" ht="20.100000000000001" customHeight="1" x14ac:dyDescent="0.25">
      <c r="A32" s="147">
        <f t="shared" si="3"/>
        <v>15</v>
      </c>
      <c r="B32" s="148" t="s">
        <v>950</v>
      </c>
      <c r="C32" s="149">
        <f t="shared" si="1"/>
        <v>380</v>
      </c>
      <c r="D32" s="149">
        <f t="shared" si="2"/>
        <v>380</v>
      </c>
      <c r="E32" s="149"/>
      <c r="F32" s="149"/>
      <c r="G32" s="149"/>
      <c r="H32" s="149"/>
      <c r="I32" s="149">
        <v>110</v>
      </c>
      <c r="J32" s="149">
        <v>190</v>
      </c>
      <c r="K32" s="149">
        <v>80</v>
      </c>
      <c r="L32" s="149"/>
      <c r="M32" s="149"/>
      <c r="N32" s="145"/>
      <c r="O32" s="145"/>
    </row>
    <row r="33" spans="1:15" s="146" customFormat="1" ht="20.100000000000001" customHeight="1" x14ac:dyDescent="0.25">
      <c r="A33" s="150">
        <f t="shared" si="3"/>
        <v>16</v>
      </c>
      <c r="B33" s="151" t="s">
        <v>951</v>
      </c>
      <c r="C33" s="152">
        <f t="shared" si="1"/>
        <v>120</v>
      </c>
      <c r="D33" s="152">
        <f t="shared" si="2"/>
        <v>120</v>
      </c>
      <c r="E33" s="152"/>
      <c r="F33" s="152"/>
      <c r="G33" s="152"/>
      <c r="H33" s="152"/>
      <c r="I33" s="152">
        <v>70</v>
      </c>
      <c r="J33" s="152">
        <v>20</v>
      </c>
      <c r="K33" s="152">
        <v>30</v>
      </c>
      <c r="L33" s="152"/>
      <c r="M33" s="152"/>
      <c r="N33" s="145"/>
      <c r="O33" s="145"/>
    </row>
    <row r="34" spans="1:15" ht="14.25" customHeight="1" x14ac:dyDescent="0.25">
      <c r="M34" s="76"/>
      <c r="N34" s="76"/>
      <c r="O34" s="76"/>
    </row>
    <row r="35" spans="1:15" ht="14.25" customHeight="1" x14ac:dyDescent="0.25">
      <c r="M35" s="76"/>
      <c r="N35" s="76"/>
      <c r="O35" s="76"/>
    </row>
    <row r="36" spans="1:15" ht="14.25" customHeight="1" x14ac:dyDescent="0.25">
      <c r="M36" s="76"/>
      <c r="N36" s="76"/>
      <c r="O36" s="76"/>
    </row>
    <row r="37" spans="1:15" ht="14.25" customHeight="1" x14ac:dyDescent="0.25">
      <c r="M37" s="76"/>
      <c r="N37" s="76"/>
      <c r="O37" s="76"/>
    </row>
    <row r="38" spans="1:15" ht="14.25" customHeight="1" x14ac:dyDescent="0.25">
      <c r="M38" s="76"/>
      <c r="N38" s="76"/>
      <c r="O38" s="76"/>
    </row>
    <row r="39" spans="1:15" ht="14.25" customHeight="1" x14ac:dyDescent="0.25">
      <c r="M39" s="76"/>
      <c r="N39" s="76"/>
      <c r="O39" s="76"/>
    </row>
    <row r="40" spans="1:15" ht="14.25" customHeight="1" x14ac:dyDescent="0.25">
      <c r="M40" s="76"/>
      <c r="N40" s="76"/>
      <c r="O40" s="76"/>
    </row>
    <row r="41" spans="1:15" ht="14.25" customHeight="1" x14ac:dyDescent="0.25">
      <c r="M41" s="76"/>
      <c r="N41" s="76"/>
      <c r="O41" s="76"/>
    </row>
    <row r="42" spans="1:15" ht="14.25" customHeight="1" x14ac:dyDescent="0.25">
      <c r="M42" s="76"/>
      <c r="N42" s="76"/>
      <c r="O42" s="76"/>
    </row>
    <row r="43" spans="1:15" ht="14.25" customHeight="1" x14ac:dyDescent="0.25">
      <c r="M43" s="76"/>
      <c r="N43" s="76"/>
      <c r="O43" s="76"/>
    </row>
    <row r="44" spans="1:15" ht="14.25" customHeight="1" x14ac:dyDescent="0.25">
      <c r="M44" s="76"/>
      <c r="N44" s="76"/>
      <c r="O44" s="76"/>
    </row>
    <row r="45" spans="1:15" ht="14.25" customHeight="1" x14ac:dyDescent="0.25">
      <c r="M45" s="76"/>
      <c r="N45" s="76"/>
      <c r="O45" s="76"/>
    </row>
    <row r="46" spans="1:15" ht="14.25" customHeight="1" x14ac:dyDescent="0.25">
      <c r="M46" s="76"/>
      <c r="N46" s="76"/>
      <c r="O46" s="76"/>
    </row>
    <row r="47" spans="1:15" ht="14.25" customHeight="1" x14ac:dyDescent="0.25">
      <c r="M47" s="76"/>
      <c r="N47" s="76"/>
      <c r="O47" s="76"/>
    </row>
    <row r="48" spans="1:15" ht="14.25" customHeight="1" x14ac:dyDescent="0.25">
      <c r="M48" s="76"/>
      <c r="N48" s="76"/>
      <c r="O48" s="76"/>
    </row>
    <row r="49" spans="13:15" ht="14.25" customHeight="1" x14ac:dyDescent="0.25">
      <c r="M49" s="76"/>
      <c r="N49" s="76"/>
      <c r="O49" s="76"/>
    </row>
    <row r="50" spans="13:15" ht="14.25" customHeight="1" x14ac:dyDescent="0.25">
      <c r="M50" s="76"/>
      <c r="N50" s="76"/>
      <c r="O50" s="76"/>
    </row>
    <row r="51" spans="13:15" ht="14.25" customHeight="1" x14ac:dyDescent="0.25">
      <c r="M51" s="76"/>
      <c r="N51" s="76"/>
      <c r="O51" s="76"/>
    </row>
    <row r="52" spans="13:15" ht="14.25" customHeight="1" x14ac:dyDescent="0.25">
      <c r="M52" s="76"/>
      <c r="N52" s="76"/>
      <c r="O52" s="76"/>
    </row>
    <row r="53" spans="13:15" ht="14.25" customHeight="1" x14ac:dyDescent="0.25">
      <c r="M53" s="76"/>
      <c r="N53" s="76"/>
      <c r="O53" s="76"/>
    </row>
    <row r="54" spans="13:15" ht="14.25" customHeight="1" x14ac:dyDescent="0.25">
      <c r="M54" s="76"/>
      <c r="N54" s="76"/>
      <c r="O54" s="76"/>
    </row>
    <row r="55" spans="13:15" ht="14.25" customHeight="1" x14ac:dyDescent="0.25">
      <c r="M55" s="76"/>
      <c r="N55" s="76"/>
      <c r="O55" s="76"/>
    </row>
    <row r="56" spans="13:15" ht="14.25" customHeight="1" x14ac:dyDescent="0.25">
      <c r="M56" s="76"/>
      <c r="N56" s="76"/>
      <c r="O56" s="76"/>
    </row>
    <row r="57" spans="13:15" ht="14.25" customHeight="1" x14ac:dyDescent="0.25">
      <c r="M57" s="76"/>
      <c r="N57" s="76"/>
      <c r="O57" s="76"/>
    </row>
    <row r="58" spans="13:15" ht="14.25" customHeight="1" x14ac:dyDescent="0.25">
      <c r="M58" s="76"/>
      <c r="N58" s="76"/>
      <c r="O58" s="76"/>
    </row>
    <row r="59" spans="13:15" ht="14.25" customHeight="1" x14ac:dyDescent="0.25">
      <c r="M59" s="76"/>
      <c r="N59" s="76"/>
      <c r="O59" s="76"/>
    </row>
    <row r="60" spans="13:15" ht="14.25" customHeight="1" x14ac:dyDescent="0.25">
      <c r="M60" s="76"/>
      <c r="N60" s="76"/>
      <c r="O60" s="76"/>
    </row>
    <row r="61" spans="13:15" ht="14.25" customHeight="1" x14ac:dyDescent="0.25">
      <c r="M61" s="76"/>
      <c r="N61" s="76"/>
      <c r="O61" s="76"/>
    </row>
    <row r="62" spans="13:15" ht="14.25" customHeight="1" x14ac:dyDescent="0.25">
      <c r="M62" s="76"/>
      <c r="N62" s="76"/>
      <c r="O62" s="76"/>
    </row>
    <row r="63" spans="13:15" ht="14.25" customHeight="1" x14ac:dyDescent="0.25">
      <c r="M63" s="76"/>
      <c r="N63" s="76"/>
      <c r="O63" s="76"/>
    </row>
    <row r="64" spans="13:15" ht="14.25" customHeight="1" x14ac:dyDescent="0.25">
      <c r="M64" s="76"/>
      <c r="N64" s="76"/>
      <c r="O64" s="76"/>
    </row>
    <row r="65" spans="1:15" ht="14.25" customHeight="1" x14ac:dyDescent="0.25">
      <c r="M65" s="76"/>
      <c r="N65" s="76"/>
      <c r="O65" s="76"/>
    </row>
    <row r="66" spans="1:15" ht="14.25" customHeight="1" x14ac:dyDescent="0.25">
      <c r="M66" s="76"/>
      <c r="N66" s="76"/>
      <c r="O66" s="76"/>
    </row>
    <row r="67" spans="1:15" ht="14.25" customHeight="1" x14ac:dyDescent="0.25">
      <c r="M67" s="76"/>
      <c r="N67" s="76"/>
      <c r="O67" s="76"/>
    </row>
    <row r="68" spans="1:15" ht="14.25" customHeight="1" x14ac:dyDescent="0.25">
      <c r="M68" s="76"/>
      <c r="N68" s="76"/>
      <c r="O68" s="76"/>
    </row>
    <row r="69" spans="1:15" ht="14.25" customHeight="1" x14ac:dyDescent="0.25">
      <c r="M69" s="76"/>
      <c r="N69" s="76"/>
      <c r="O69" s="76"/>
    </row>
    <row r="70" spans="1:15" ht="14.25" customHeight="1" x14ac:dyDescent="0.25">
      <c r="A70" s="15"/>
    </row>
    <row r="71" spans="1:15" ht="14.25" customHeight="1" x14ac:dyDescent="0.25">
      <c r="A71" s="6"/>
    </row>
    <row r="72" spans="1:15" ht="14.25" customHeight="1" x14ac:dyDescent="0.25">
      <c r="A72" s="6"/>
    </row>
  </sheetData>
  <mergeCells count="20">
    <mergeCell ref="J1:M1"/>
    <mergeCell ref="A7:A15"/>
    <mergeCell ref="B7:B15"/>
    <mergeCell ref="C7:C15"/>
    <mergeCell ref="D7:D15"/>
    <mergeCell ref="E7:K7"/>
    <mergeCell ref="L7:L15"/>
    <mergeCell ref="M7:M15"/>
    <mergeCell ref="E8:E15"/>
    <mergeCell ref="F8:F15"/>
    <mergeCell ref="G8:G15"/>
    <mergeCell ref="H8:H15"/>
    <mergeCell ref="A3:M3"/>
    <mergeCell ref="A4:M4"/>
    <mergeCell ref="I8:I15"/>
    <mergeCell ref="J8:J15"/>
    <mergeCell ref="A5:M5"/>
    <mergeCell ref="K8:K15"/>
    <mergeCell ref="A2:M2"/>
    <mergeCell ref="J6:M6"/>
  </mergeCells>
  <printOptions horizontalCentered="1"/>
  <pageMargins left="0.11811023622047245" right="0.11811023622047245" top="0.15748031496062992" bottom="0.15748031496062992" header="0.31496062992125984" footer="0.31496062992125984"/>
  <pageSetup paperSize="9" scale="90" orientation="landscape"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0000"/>
  </sheetPr>
  <dimension ref="A1:K34"/>
  <sheetViews>
    <sheetView workbookViewId="0"/>
  </sheetViews>
  <sheetFormatPr defaultRowHeight="15" x14ac:dyDescent="0.25"/>
  <cols>
    <col min="1" max="1" width="5.28515625" customWidth="1"/>
    <col min="2" max="2" width="36.85546875" customWidth="1"/>
  </cols>
  <sheetData>
    <row r="1" spans="1:11" ht="15.75" x14ac:dyDescent="0.25">
      <c r="J1" s="414" t="s">
        <v>486</v>
      </c>
      <c r="K1" s="414"/>
    </row>
    <row r="2" spans="1:11" ht="42" customHeight="1" x14ac:dyDescent="0.25">
      <c r="A2" s="445" t="s">
        <v>487</v>
      </c>
      <c r="B2" s="445"/>
      <c r="C2" s="445"/>
      <c r="D2" s="445"/>
      <c r="E2" s="445"/>
      <c r="F2" s="445"/>
      <c r="G2" s="445"/>
      <c r="H2" s="445"/>
      <c r="I2" s="445"/>
      <c r="J2" s="445"/>
      <c r="K2" s="445"/>
    </row>
    <row r="3" spans="1:11" ht="15.75" x14ac:dyDescent="0.25">
      <c r="A3" s="414" t="s">
        <v>458</v>
      </c>
      <c r="B3" s="414"/>
      <c r="C3" s="414"/>
      <c r="D3" s="414"/>
      <c r="E3" s="414"/>
      <c r="F3" s="414"/>
      <c r="G3" s="414"/>
      <c r="H3" s="414"/>
      <c r="I3" s="414"/>
      <c r="J3" s="414"/>
      <c r="K3" s="414"/>
    </row>
    <row r="4" spans="1:11" ht="15.75" x14ac:dyDescent="0.25">
      <c r="K4" s="26" t="s">
        <v>56</v>
      </c>
    </row>
    <row r="5" spans="1:11" ht="22.5" customHeight="1" x14ac:dyDescent="0.25">
      <c r="A5" s="444" t="s">
        <v>3</v>
      </c>
      <c r="B5" s="444" t="s">
        <v>355</v>
      </c>
      <c r="C5" s="444" t="s">
        <v>356</v>
      </c>
      <c r="D5" s="444" t="s">
        <v>469</v>
      </c>
      <c r="E5" s="444"/>
      <c r="F5" s="444" t="s">
        <v>357</v>
      </c>
      <c r="G5" s="444" t="s">
        <v>469</v>
      </c>
      <c r="H5" s="444"/>
      <c r="I5" s="444" t="s">
        <v>366</v>
      </c>
      <c r="J5" s="444"/>
      <c r="K5" s="444"/>
    </row>
    <row r="6" spans="1:11" ht="74.25" customHeight="1" x14ac:dyDescent="0.25">
      <c r="A6" s="444"/>
      <c r="B6" s="444"/>
      <c r="C6" s="444"/>
      <c r="D6" s="28" t="s">
        <v>131</v>
      </c>
      <c r="E6" s="28" t="s">
        <v>132</v>
      </c>
      <c r="F6" s="444"/>
      <c r="G6" s="28" t="s">
        <v>131</v>
      </c>
      <c r="H6" s="28" t="s">
        <v>132</v>
      </c>
      <c r="I6" s="28" t="s">
        <v>488</v>
      </c>
      <c r="J6" s="28" t="s">
        <v>131</v>
      </c>
      <c r="K6" s="28" t="s">
        <v>132</v>
      </c>
    </row>
    <row r="7" spans="1:11" ht="15.75" x14ac:dyDescent="0.25">
      <c r="A7" s="28" t="s">
        <v>15</v>
      </c>
      <c r="B7" s="28" t="s">
        <v>16</v>
      </c>
      <c r="C7" s="28" t="s">
        <v>489</v>
      </c>
      <c r="D7" s="28">
        <v>2</v>
      </c>
      <c r="E7" s="28">
        <v>3</v>
      </c>
      <c r="F7" s="28" t="s">
        <v>490</v>
      </c>
      <c r="G7" s="28">
        <v>5</v>
      </c>
      <c r="H7" s="28">
        <v>6</v>
      </c>
      <c r="I7" s="28" t="s">
        <v>491</v>
      </c>
      <c r="J7" s="28" t="s">
        <v>492</v>
      </c>
      <c r="K7" s="28" t="s">
        <v>493</v>
      </c>
    </row>
    <row r="8" spans="1:11" ht="15.75" x14ac:dyDescent="0.25">
      <c r="A8" s="29"/>
      <c r="B8" s="30" t="s">
        <v>90</v>
      </c>
      <c r="C8" s="28"/>
      <c r="D8" s="28"/>
      <c r="E8" s="28"/>
      <c r="F8" s="28"/>
      <c r="G8" s="28"/>
      <c r="H8" s="28"/>
      <c r="I8" s="28"/>
      <c r="J8" s="28"/>
      <c r="K8" s="28"/>
    </row>
    <row r="9" spans="1:11" ht="15.75" x14ac:dyDescent="0.25">
      <c r="A9" s="29" t="s">
        <v>15</v>
      </c>
      <c r="B9" s="30" t="s">
        <v>390</v>
      </c>
      <c r="C9" s="28"/>
      <c r="D9" s="28"/>
      <c r="E9" s="28"/>
      <c r="F9" s="28"/>
      <c r="G9" s="28"/>
      <c r="H9" s="28"/>
      <c r="I9" s="28"/>
      <c r="J9" s="28"/>
      <c r="K9" s="28"/>
    </row>
    <row r="10" spans="1:11" ht="15.75" x14ac:dyDescent="0.25">
      <c r="A10" s="29" t="s">
        <v>83</v>
      </c>
      <c r="B10" s="30" t="s">
        <v>363</v>
      </c>
      <c r="C10" s="28"/>
      <c r="D10" s="28"/>
      <c r="E10" s="28"/>
      <c r="F10" s="28"/>
      <c r="G10" s="28"/>
      <c r="H10" s="28"/>
      <c r="I10" s="28"/>
      <c r="J10" s="28"/>
      <c r="K10" s="28"/>
    </row>
    <row r="11" spans="1:11" ht="15.75" x14ac:dyDescent="0.25">
      <c r="A11" s="28">
        <v>1</v>
      </c>
      <c r="B11" s="31" t="s">
        <v>391</v>
      </c>
      <c r="C11" s="28"/>
      <c r="D11" s="28"/>
      <c r="E11" s="28"/>
      <c r="F11" s="28"/>
      <c r="G11" s="28"/>
      <c r="H11" s="28"/>
      <c r="I11" s="28"/>
      <c r="J11" s="28"/>
      <c r="K11" s="28"/>
    </row>
    <row r="12" spans="1:11" ht="15.75" x14ac:dyDescent="0.25">
      <c r="A12" s="28"/>
      <c r="B12" s="32" t="s">
        <v>392</v>
      </c>
      <c r="C12" s="28"/>
      <c r="D12" s="28"/>
      <c r="E12" s="28"/>
      <c r="F12" s="28"/>
      <c r="G12" s="28"/>
      <c r="H12" s="28"/>
      <c r="I12" s="28"/>
      <c r="J12" s="28"/>
      <c r="K12" s="28"/>
    </row>
    <row r="13" spans="1:11" ht="15.75" x14ac:dyDescent="0.25">
      <c r="A13" s="28" t="s">
        <v>22</v>
      </c>
      <c r="B13" s="32" t="s">
        <v>393</v>
      </c>
      <c r="C13" s="28"/>
      <c r="D13" s="28"/>
      <c r="E13" s="28"/>
      <c r="F13" s="28"/>
      <c r="G13" s="28"/>
      <c r="H13" s="28"/>
      <c r="I13" s="28"/>
      <c r="J13" s="28"/>
      <c r="K13" s="28"/>
    </row>
    <row r="14" spans="1:11" ht="15.75" x14ac:dyDescent="0.25">
      <c r="A14" s="28" t="s">
        <v>22</v>
      </c>
      <c r="B14" s="32" t="s">
        <v>394</v>
      </c>
      <c r="C14" s="28"/>
      <c r="D14" s="28"/>
      <c r="E14" s="28"/>
      <c r="F14" s="28"/>
      <c r="G14" s="28"/>
      <c r="H14" s="28"/>
      <c r="I14" s="28"/>
      <c r="J14" s="28"/>
      <c r="K14" s="28"/>
    </row>
    <row r="15" spans="1:11" ht="15.75" x14ac:dyDescent="0.25">
      <c r="A15" s="28"/>
      <c r="B15" s="32" t="s">
        <v>395</v>
      </c>
      <c r="C15" s="28"/>
      <c r="D15" s="28"/>
      <c r="E15" s="28"/>
      <c r="F15" s="28"/>
      <c r="G15" s="28"/>
      <c r="H15" s="28"/>
      <c r="I15" s="28"/>
      <c r="J15" s="28"/>
      <c r="K15" s="28"/>
    </row>
    <row r="16" spans="1:11" ht="15.75" x14ac:dyDescent="0.25">
      <c r="A16" s="28" t="s">
        <v>22</v>
      </c>
      <c r="B16" s="31" t="s">
        <v>396</v>
      </c>
      <c r="C16" s="28"/>
      <c r="D16" s="28"/>
      <c r="E16" s="28"/>
      <c r="F16" s="28"/>
      <c r="G16" s="28"/>
      <c r="H16" s="28"/>
      <c r="I16" s="28"/>
      <c r="J16" s="28"/>
      <c r="K16" s="28"/>
    </row>
    <row r="17" spans="1:11" ht="15.75" x14ac:dyDescent="0.25">
      <c r="A17" s="28" t="s">
        <v>22</v>
      </c>
      <c r="B17" s="31" t="s">
        <v>494</v>
      </c>
      <c r="C17" s="28"/>
      <c r="D17" s="28"/>
      <c r="E17" s="28"/>
      <c r="F17" s="28"/>
      <c r="G17" s="28"/>
      <c r="H17" s="28"/>
      <c r="I17" s="28"/>
      <c r="J17" s="28"/>
      <c r="K17" s="28"/>
    </row>
    <row r="18" spans="1:11" ht="78.75" x14ac:dyDescent="0.25">
      <c r="A18" s="28">
        <v>2</v>
      </c>
      <c r="B18" s="31" t="s">
        <v>398</v>
      </c>
      <c r="C18" s="28"/>
      <c r="D18" s="28"/>
      <c r="E18" s="28"/>
      <c r="F18" s="28"/>
      <c r="G18" s="28"/>
      <c r="H18" s="28"/>
      <c r="I18" s="28"/>
      <c r="J18" s="28"/>
      <c r="K18" s="28"/>
    </row>
    <row r="19" spans="1:11" ht="15.75" x14ac:dyDescent="0.25">
      <c r="A19" s="28">
        <v>3</v>
      </c>
      <c r="B19" s="31" t="s">
        <v>399</v>
      </c>
      <c r="C19" s="28"/>
      <c r="D19" s="28"/>
      <c r="E19" s="28"/>
      <c r="F19" s="28"/>
      <c r="G19" s="28"/>
      <c r="H19" s="28"/>
      <c r="I19" s="28"/>
      <c r="J19" s="28"/>
      <c r="K19" s="28"/>
    </row>
    <row r="20" spans="1:11" ht="15.75" x14ac:dyDescent="0.25">
      <c r="A20" s="29" t="s">
        <v>70</v>
      </c>
      <c r="B20" s="30" t="s">
        <v>96</v>
      </c>
      <c r="C20" s="28"/>
      <c r="D20" s="28"/>
      <c r="E20" s="28"/>
      <c r="F20" s="28"/>
      <c r="G20" s="28"/>
      <c r="H20" s="28"/>
      <c r="I20" s="28"/>
      <c r="J20" s="28"/>
      <c r="K20" s="28"/>
    </row>
    <row r="21" spans="1:11" ht="15.75" x14ac:dyDescent="0.25">
      <c r="A21" s="28"/>
      <c r="B21" s="32" t="s">
        <v>134</v>
      </c>
      <c r="C21" s="28"/>
      <c r="D21" s="28"/>
      <c r="E21" s="28"/>
      <c r="F21" s="28"/>
      <c r="G21" s="28"/>
      <c r="H21" s="28"/>
      <c r="I21" s="28"/>
      <c r="J21" s="28"/>
      <c r="K21" s="28"/>
    </row>
    <row r="22" spans="1:11" ht="15.75" x14ac:dyDescent="0.25">
      <c r="A22" s="28">
        <v>1</v>
      </c>
      <c r="B22" s="32" t="s">
        <v>393</v>
      </c>
      <c r="C22" s="28"/>
      <c r="D22" s="28"/>
      <c r="E22" s="28"/>
      <c r="F22" s="28"/>
      <c r="G22" s="28"/>
      <c r="H22" s="28"/>
      <c r="I22" s="28"/>
      <c r="J22" s="28"/>
      <c r="K22" s="28"/>
    </row>
    <row r="23" spans="1:11" ht="15.75" x14ac:dyDescent="0.25">
      <c r="A23" s="28">
        <v>2</v>
      </c>
      <c r="B23" s="32" t="s">
        <v>394</v>
      </c>
      <c r="C23" s="28"/>
      <c r="D23" s="28"/>
      <c r="E23" s="28"/>
      <c r="F23" s="28"/>
      <c r="G23" s="28"/>
      <c r="H23" s="28"/>
      <c r="I23" s="28"/>
      <c r="J23" s="28"/>
      <c r="K23" s="28"/>
    </row>
    <row r="24" spans="1:11" ht="31.5" x14ac:dyDescent="0.25">
      <c r="A24" s="29" t="s">
        <v>73</v>
      </c>
      <c r="B24" s="30" t="s">
        <v>97</v>
      </c>
      <c r="C24" s="28"/>
      <c r="D24" s="28"/>
      <c r="E24" s="28"/>
      <c r="F24" s="28"/>
      <c r="G24" s="28"/>
      <c r="H24" s="28"/>
      <c r="I24" s="28"/>
      <c r="J24" s="28"/>
      <c r="K24" s="28"/>
    </row>
    <row r="25" spans="1:11" ht="15.75" x14ac:dyDescent="0.25">
      <c r="A25" s="29" t="s">
        <v>77</v>
      </c>
      <c r="B25" s="30" t="s">
        <v>246</v>
      </c>
      <c r="C25" s="28"/>
      <c r="D25" s="28"/>
      <c r="E25" s="28"/>
      <c r="F25" s="28"/>
      <c r="G25" s="28"/>
      <c r="H25" s="28"/>
      <c r="I25" s="28"/>
      <c r="J25" s="28"/>
      <c r="K25" s="28"/>
    </row>
    <row r="26" spans="1:11" ht="15.75" x14ac:dyDescent="0.25">
      <c r="A26" s="29" t="s">
        <v>113</v>
      </c>
      <c r="B26" s="30" t="s">
        <v>247</v>
      </c>
      <c r="C26" s="28"/>
      <c r="D26" s="28"/>
      <c r="E26" s="28"/>
      <c r="F26" s="28"/>
      <c r="G26" s="28"/>
      <c r="H26" s="28"/>
      <c r="I26" s="28"/>
      <c r="J26" s="28"/>
      <c r="K26" s="28"/>
    </row>
    <row r="27" spans="1:11" ht="15.75" x14ac:dyDescent="0.25">
      <c r="A27" s="29" t="s">
        <v>400</v>
      </c>
      <c r="B27" s="30" t="s">
        <v>98</v>
      </c>
      <c r="C27" s="28"/>
      <c r="D27" s="28"/>
      <c r="E27" s="28"/>
      <c r="F27" s="28"/>
      <c r="G27" s="28"/>
      <c r="H27" s="28"/>
      <c r="I27" s="28"/>
      <c r="J27" s="28"/>
      <c r="K27" s="28"/>
    </row>
    <row r="28" spans="1:11" ht="31.5" x14ac:dyDescent="0.25">
      <c r="A28" s="29" t="s">
        <v>16</v>
      </c>
      <c r="B28" s="30" t="s">
        <v>401</v>
      </c>
      <c r="C28" s="28"/>
      <c r="D28" s="28"/>
      <c r="E28" s="28"/>
      <c r="F28" s="28"/>
      <c r="G28" s="28"/>
      <c r="H28" s="28"/>
      <c r="I28" s="28"/>
      <c r="J28" s="28"/>
      <c r="K28" s="28"/>
    </row>
    <row r="29" spans="1:11" ht="31.5" x14ac:dyDescent="0.25">
      <c r="A29" s="29" t="s">
        <v>83</v>
      </c>
      <c r="B29" s="30" t="s">
        <v>249</v>
      </c>
      <c r="C29" s="28"/>
      <c r="D29" s="28"/>
      <c r="E29" s="28"/>
      <c r="F29" s="28"/>
      <c r="G29" s="28"/>
      <c r="H29" s="28"/>
      <c r="I29" s="28"/>
      <c r="J29" s="28"/>
      <c r="K29" s="28"/>
    </row>
    <row r="30" spans="1:11" ht="31.5" x14ac:dyDescent="0.25">
      <c r="A30" s="28"/>
      <c r="B30" s="31" t="s">
        <v>402</v>
      </c>
      <c r="C30" s="28"/>
      <c r="D30" s="28"/>
      <c r="E30" s="28"/>
      <c r="F30" s="28"/>
      <c r="G30" s="28"/>
      <c r="H30" s="28"/>
      <c r="I30" s="28"/>
      <c r="J30" s="28"/>
      <c r="K30" s="28"/>
    </row>
    <row r="31" spans="1:11" ht="31.5" x14ac:dyDescent="0.25">
      <c r="A31" s="29" t="s">
        <v>70</v>
      </c>
      <c r="B31" s="30" t="s">
        <v>250</v>
      </c>
      <c r="C31" s="28"/>
      <c r="D31" s="28"/>
      <c r="E31" s="28"/>
      <c r="F31" s="28"/>
      <c r="G31" s="28"/>
      <c r="H31" s="28"/>
      <c r="I31" s="28"/>
      <c r="J31" s="28"/>
      <c r="K31" s="28"/>
    </row>
    <row r="32" spans="1:11" ht="31.5" x14ac:dyDescent="0.25">
      <c r="A32" s="28"/>
      <c r="B32" s="31" t="s">
        <v>403</v>
      </c>
      <c r="C32" s="28"/>
      <c r="D32" s="28"/>
      <c r="E32" s="28"/>
      <c r="F32" s="28"/>
      <c r="G32" s="28"/>
      <c r="H32" s="28"/>
      <c r="I32" s="28"/>
      <c r="J32" s="28"/>
      <c r="K32" s="28"/>
    </row>
    <row r="33" spans="1:11" ht="31.5" x14ac:dyDescent="0.25">
      <c r="A33" s="29" t="s">
        <v>79</v>
      </c>
      <c r="B33" s="30" t="s">
        <v>422</v>
      </c>
      <c r="C33" s="28"/>
      <c r="D33" s="28"/>
      <c r="E33" s="28"/>
      <c r="F33" s="28"/>
      <c r="G33" s="28"/>
      <c r="H33" s="28"/>
      <c r="I33" s="28"/>
      <c r="J33" s="28"/>
      <c r="K33" s="28"/>
    </row>
    <row r="34" spans="1:11" ht="15.75" x14ac:dyDescent="0.25">
      <c r="A34" s="446" t="s">
        <v>495</v>
      </c>
      <c r="B34" s="446"/>
      <c r="C34" s="446"/>
      <c r="D34" s="446"/>
      <c r="E34" s="446"/>
      <c r="F34" s="446"/>
      <c r="G34" s="446"/>
      <c r="H34" s="446"/>
      <c r="I34" s="446"/>
      <c r="J34" s="446"/>
      <c r="K34" s="446"/>
    </row>
  </sheetData>
  <mergeCells count="11">
    <mergeCell ref="I5:K5"/>
    <mergeCell ref="J1:K1"/>
    <mergeCell ref="A2:K2"/>
    <mergeCell ref="A3:K3"/>
    <mergeCell ref="A34:K34"/>
    <mergeCell ref="A5:A6"/>
    <mergeCell ref="B5:B6"/>
    <mergeCell ref="C5:C6"/>
    <mergeCell ref="D5:E5"/>
    <mergeCell ref="F5:F6"/>
    <mergeCell ref="G5:H5"/>
  </mergeCells>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0000"/>
  </sheetPr>
  <dimension ref="A1:F49"/>
  <sheetViews>
    <sheetView workbookViewId="0"/>
  </sheetViews>
  <sheetFormatPr defaultRowHeight="15" x14ac:dyDescent="0.25"/>
  <cols>
    <col min="1" max="1" width="5.5703125" customWidth="1"/>
    <col min="2" max="2" width="55.7109375" customWidth="1"/>
  </cols>
  <sheetData>
    <row r="1" spans="1:6" ht="15.75" x14ac:dyDescent="0.25">
      <c r="F1" s="25" t="s">
        <v>496</v>
      </c>
    </row>
    <row r="2" spans="1:6" ht="29.25" customHeight="1" x14ac:dyDescent="0.25">
      <c r="A2" s="448" t="s">
        <v>497</v>
      </c>
      <c r="B2" s="448"/>
      <c r="C2" s="448"/>
      <c r="D2" s="448"/>
      <c r="E2" s="448"/>
      <c r="F2" s="448"/>
    </row>
    <row r="3" spans="1:6" ht="20.25" customHeight="1" x14ac:dyDescent="0.25">
      <c r="A3" s="414" t="s">
        <v>126</v>
      </c>
      <c r="B3" s="414"/>
      <c r="C3" s="414"/>
      <c r="D3" s="414"/>
      <c r="E3" s="414"/>
      <c r="F3" s="414"/>
    </row>
    <row r="4" spans="1:6" ht="19.5" customHeight="1" x14ac:dyDescent="0.25">
      <c r="F4" s="26" t="s">
        <v>56</v>
      </c>
    </row>
    <row r="5" spans="1:6" ht="15.75" x14ac:dyDescent="0.25">
      <c r="A5" s="449" t="s">
        <v>3</v>
      </c>
      <c r="B5" s="449" t="s">
        <v>4</v>
      </c>
      <c r="C5" s="449" t="s">
        <v>356</v>
      </c>
      <c r="D5" s="449" t="s">
        <v>357</v>
      </c>
      <c r="E5" s="449" t="s">
        <v>229</v>
      </c>
      <c r="F5" s="449"/>
    </row>
    <row r="6" spans="1:6" ht="54.75" customHeight="1" x14ac:dyDescent="0.25">
      <c r="A6" s="449"/>
      <c r="B6" s="449"/>
      <c r="C6" s="449"/>
      <c r="D6" s="449"/>
      <c r="E6" s="29" t="s">
        <v>233</v>
      </c>
      <c r="F6" s="29" t="s">
        <v>389</v>
      </c>
    </row>
    <row r="7" spans="1:6" ht="15.75" x14ac:dyDescent="0.25">
      <c r="A7" s="29" t="s">
        <v>15</v>
      </c>
      <c r="B7" s="29" t="s">
        <v>16</v>
      </c>
      <c r="C7" s="29">
        <v>1</v>
      </c>
      <c r="D7" s="29">
        <v>2</v>
      </c>
      <c r="E7" s="29" t="s">
        <v>358</v>
      </c>
      <c r="F7" s="29" t="s">
        <v>359</v>
      </c>
    </row>
    <row r="8" spans="1:6" ht="15.75" x14ac:dyDescent="0.25">
      <c r="A8" s="29"/>
      <c r="B8" s="30" t="s">
        <v>90</v>
      </c>
      <c r="C8" s="28"/>
      <c r="D8" s="28"/>
      <c r="E8" s="28"/>
      <c r="F8" s="28"/>
    </row>
    <row r="9" spans="1:6" ht="31.5" x14ac:dyDescent="0.25">
      <c r="A9" s="29" t="s">
        <v>15</v>
      </c>
      <c r="B9" s="30" t="s">
        <v>498</v>
      </c>
      <c r="C9" s="28"/>
      <c r="D9" s="28"/>
      <c r="E9" s="28"/>
      <c r="F9" s="28"/>
    </row>
    <row r="10" spans="1:6" ht="31.5" x14ac:dyDescent="0.25">
      <c r="A10" s="29" t="s">
        <v>16</v>
      </c>
      <c r="B10" s="30" t="s">
        <v>499</v>
      </c>
      <c r="C10" s="28"/>
      <c r="D10" s="28"/>
      <c r="E10" s="28"/>
      <c r="F10" s="28"/>
    </row>
    <row r="11" spans="1:6" ht="15.75" x14ac:dyDescent="0.25">
      <c r="A11" s="29" t="s">
        <v>83</v>
      </c>
      <c r="B11" s="30" t="s">
        <v>500</v>
      </c>
      <c r="C11" s="28"/>
      <c r="D11" s="28"/>
      <c r="E11" s="28"/>
      <c r="F11" s="28"/>
    </row>
    <row r="12" spans="1:6" ht="15.75" x14ac:dyDescent="0.25">
      <c r="A12" s="28">
        <v>1</v>
      </c>
      <c r="B12" s="31" t="s">
        <v>391</v>
      </c>
      <c r="C12" s="28"/>
      <c r="D12" s="28"/>
      <c r="E12" s="28"/>
      <c r="F12" s="28"/>
    </row>
    <row r="13" spans="1:6" ht="15.75" x14ac:dyDescent="0.25">
      <c r="A13" s="28" t="s">
        <v>22</v>
      </c>
      <c r="B13" s="31" t="s">
        <v>393</v>
      </c>
      <c r="C13" s="28"/>
      <c r="D13" s="28"/>
      <c r="E13" s="28"/>
      <c r="F13" s="28"/>
    </row>
    <row r="14" spans="1:6" ht="15.75" x14ac:dyDescent="0.25">
      <c r="A14" s="28" t="s">
        <v>22</v>
      </c>
      <c r="B14" s="31" t="s">
        <v>394</v>
      </c>
      <c r="C14" s="28"/>
      <c r="D14" s="28"/>
      <c r="E14" s="28"/>
      <c r="F14" s="28"/>
    </row>
    <row r="15" spans="1:6" ht="15.75" x14ac:dyDescent="0.25">
      <c r="A15" s="28" t="s">
        <v>22</v>
      </c>
      <c r="B15" s="31" t="s">
        <v>501</v>
      </c>
      <c r="C15" s="28"/>
      <c r="D15" s="28"/>
      <c r="E15" s="28"/>
      <c r="F15" s="28"/>
    </row>
    <row r="16" spans="1:6" ht="15.75" x14ac:dyDescent="0.25">
      <c r="A16" s="28" t="s">
        <v>22</v>
      </c>
      <c r="B16" s="31" t="s">
        <v>502</v>
      </c>
      <c r="C16" s="28"/>
      <c r="D16" s="28"/>
      <c r="E16" s="28"/>
      <c r="F16" s="28"/>
    </row>
    <row r="17" spans="1:6" ht="15.75" x14ac:dyDescent="0.25">
      <c r="A17" s="28" t="s">
        <v>22</v>
      </c>
      <c r="B17" s="31" t="s">
        <v>503</v>
      </c>
      <c r="C17" s="28"/>
      <c r="D17" s="28"/>
      <c r="E17" s="28"/>
      <c r="F17" s="28"/>
    </row>
    <row r="18" spans="1:6" ht="15.75" x14ac:dyDescent="0.25">
      <c r="A18" s="28" t="s">
        <v>22</v>
      </c>
      <c r="B18" s="31" t="s">
        <v>504</v>
      </c>
      <c r="C18" s="28"/>
      <c r="D18" s="28"/>
      <c r="E18" s="28"/>
      <c r="F18" s="28"/>
    </row>
    <row r="19" spans="1:6" ht="15.75" x14ac:dyDescent="0.25">
      <c r="A19" s="28" t="s">
        <v>22</v>
      </c>
      <c r="B19" s="31" t="s">
        <v>505</v>
      </c>
      <c r="C19" s="28"/>
      <c r="D19" s="28"/>
      <c r="E19" s="28"/>
      <c r="F19" s="28"/>
    </row>
    <row r="20" spans="1:6" ht="15.75" x14ac:dyDescent="0.25">
      <c r="A20" s="28" t="s">
        <v>22</v>
      </c>
      <c r="B20" s="31" t="s">
        <v>506</v>
      </c>
      <c r="C20" s="28"/>
      <c r="D20" s="28"/>
      <c r="E20" s="28"/>
      <c r="F20" s="28"/>
    </row>
    <row r="21" spans="1:6" ht="15.75" x14ac:dyDescent="0.25">
      <c r="A21" s="28" t="s">
        <v>22</v>
      </c>
      <c r="B21" s="31" t="s">
        <v>507</v>
      </c>
      <c r="C21" s="28"/>
      <c r="D21" s="28"/>
      <c r="E21" s="28"/>
      <c r="F21" s="28"/>
    </row>
    <row r="22" spans="1:6" ht="15.75" x14ac:dyDescent="0.25">
      <c r="A22" s="28" t="s">
        <v>22</v>
      </c>
      <c r="B22" s="31" t="s">
        <v>508</v>
      </c>
      <c r="C22" s="28"/>
      <c r="D22" s="28"/>
      <c r="E22" s="28"/>
      <c r="F22" s="28"/>
    </row>
    <row r="23" spans="1:6" ht="15.75" x14ac:dyDescent="0.25">
      <c r="A23" s="28" t="s">
        <v>22</v>
      </c>
      <c r="B23" s="31" t="s">
        <v>509</v>
      </c>
      <c r="C23" s="28"/>
      <c r="D23" s="28"/>
      <c r="E23" s="28"/>
      <c r="F23" s="28"/>
    </row>
    <row r="24" spans="1:6" ht="15.75" x14ac:dyDescent="0.25">
      <c r="A24" s="28" t="s">
        <v>22</v>
      </c>
      <c r="B24" s="31" t="s">
        <v>510</v>
      </c>
      <c r="C24" s="28"/>
      <c r="D24" s="28"/>
      <c r="E24" s="28"/>
      <c r="F24" s="28"/>
    </row>
    <row r="25" spans="1:6" ht="15.75" x14ac:dyDescent="0.25">
      <c r="A25" s="28" t="s">
        <v>22</v>
      </c>
      <c r="B25" s="31" t="s">
        <v>511</v>
      </c>
      <c r="C25" s="28"/>
      <c r="D25" s="28"/>
      <c r="E25" s="28"/>
      <c r="F25" s="28"/>
    </row>
    <row r="26" spans="1:6" ht="63" x14ac:dyDescent="0.25">
      <c r="A26" s="28">
        <v>2</v>
      </c>
      <c r="B26" s="31" t="s">
        <v>398</v>
      </c>
      <c r="C26" s="28"/>
      <c r="D26" s="28"/>
      <c r="E26" s="28"/>
      <c r="F26" s="28"/>
    </row>
    <row r="27" spans="1:6" ht="15.75" x14ac:dyDescent="0.25">
      <c r="A27" s="28">
        <v>3</v>
      </c>
      <c r="B27" s="31" t="s">
        <v>399</v>
      </c>
      <c r="C27" s="28"/>
      <c r="D27" s="28"/>
      <c r="E27" s="28"/>
      <c r="F27" s="28"/>
    </row>
    <row r="28" spans="1:6" ht="15.75" x14ac:dyDescent="0.25">
      <c r="A28" s="29" t="s">
        <v>70</v>
      </c>
      <c r="B28" s="30" t="s">
        <v>96</v>
      </c>
      <c r="C28" s="28"/>
      <c r="D28" s="28"/>
      <c r="E28" s="28"/>
      <c r="F28" s="28"/>
    </row>
    <row r="29" spans="1:6" ht="15.75" x14ac:dyDescent="0.25">
      <c r="A29" s="28" t="s">
        <v>22</v>
      </c>
      <c r="B29" s="31" t="s">
        <v>393</v>
      </c>
      <c r="C29" s="28"/>
      <c r="D29" s="28"/>
      <c r="E29" s="28"/>
      <c r="F29" s="28"/>
    </row>
    <row r="30" spans="1:6" ht="15.75" x14ac:dyDescent="0.25">
      <c r="A30" s="28" t="s">
        <v>22</v>
      </c>
      <c r="B30" s="31" t="s">
        <v>421</v>
      </c>
      <c r="C30" s="28"/>
      <c r="D30" s="28"/>
      <c r="E30" s="28"/>
      <c r="F30" s="28"/>
    </row>
    <row r="31" spans="1:6" ht="15.75" x14ac:dyDescent="0.25">
      <c r="A31" s="28" t="s">
        <v>22</v>
      </c>
      <c r="B31" s="31" t="s">
        <v>501</v>
      </c>
      <c r="C31" s="28"/>
      <c r="D31" s="28"/>
      <c r="E31" s="28"/>
      <c r="F31" s="28"/>
    </row>
    <row r="32" spans="1:6" ht="15.75" x14ac:dyDescent="0.25">
      <c r="A32" s="28" t="s">
        <v>22</v>
      </c>
      <c r="B32" s="31" t="s">
        <v>502</v>
      </c>
      <c r="C32" s="28"/>
      <c r="D32" s="28"/>
      <c r="E32" s="28"/>
      <c r="F32" s="28"/>
    </row>
    <row r="33" spans="1:6" ht="15.75" x14ac:dyDescent="0.25">
      <c r="A33" s="28" t="s">
        <v>22</v>
      </c>
      <c r="B33" s="31" t="s">
        <v>503</v>
      </c>
      <c r="C33" s="28"/>
      <c r="D33" s="28"/>
      <c r="E33" s="28"/>
      <c r="F33" s="28"/>
    </row>
    <row r="34" spans="1:6" ht="15.75" x14ac:dyDescent="0.25">
      <c r="A34" s="28" t="s">
        <v>22</v>
      </c>
      <c r="B34" s="31" t="s">
        <v>504</v>
      </c>
      <c r="C34" s="28"/>
      <c r="D34" s="28"/>
      <c r="E34" s="28"/>
      <c r="F34" s="28"/>
    </row>
    <row r="35" spans="1:6" ht="15.75" x14ac:dyDescent="0.25">
      <c r="A35" s="28" t="s">
        <v>22</v>
      </c>
      <c r="B35" s="31" t="s">
        <v>505</v>
      </c>
      <c r="C35" s="28"/>
      <c r="D35" s="28"/>
      <c r="E35" s="28"/>
      <c r="F35" s="28"/>
    </row>
    <row r="36" spans="1:6" ht="15.75" x14ac:dyDescent="0.25">
      <c r="A36" s="28" t="s">
        <v>22</v>
      </c>
      <c r="B36" s="31" t="s">
        <v>506</v>
      </c>
      <c r="C36" s="28"/>
      <c r="D36" s="28"/>
      <c r="E36" s="28"/>
      <c r="F36" s="28"/>
    </row>
    <row r="37" spans="1:6" ht="15.75" x14ac:dyDescent="0.25">
      <c r="A37" s="28" t="s">
        <v>22</v>
      </c>
      <c r="B37" s="31" t="s">
        <v>507</v>
      </c>
      <c r="C37" s="28"/>
      <c r="D37" s="28"/>
      <c r="E37" s="28"/>
      <c r="F37" s="28"/>
    </row>
    <row r="38" spans="1:6" ht="15.75" x14ac:dyDescent="0.25">
      <c r="A38" s="28" t="s">
        <v>22</v>
      </c>
      <c r="B38" s="31" t="s">
        <v>508</v>
      </c>
      <c r="C38" s="28"/>
      <c r="D38" s="28"/>
      <c r="E38" s="28"/>
      <c r="F38" s="28"/>
    </row>
    <row r="39" spans="1:6" ht="15.75" x14ac:dyDescent="0.25">
      <c r="A39" s="28" t="s">
        <v>22</v>
      </c>
      <c r="B39" s="31" t="s">
        <v>509</v>
      </c>
      <c r="C39" s="28"/>
      <c r="D39" s="28"/>
      <c r="E39" s="28"/>
      <c r="F39" s="28"/>
    </row>
    <row r="40" spans="1:6" ht="15.75" x14ac:dyDescent="0.25">
      <c r="A40" s="28" t="s">
        <v>22</v>
      </c>
      <c r="B40" s="31" t="s">
        <v>510</v>
      </c>
      <c r="C40" s="28"/>
      <c r="D40" s="28"/>
      <c r="E40" s="28"/>
      <c r="F40" s="28"/>
    </row>
    <row r="41" spans="1:6" ht="15.75" x14ac:dyDescent="0.25">
      <c r="A41" s="28" t="s">
        <v>22</v>
      </c>
      <c r="B41" s="31" t="s">
        <v>512</v>
      </c>
      <c r="C41" s="28"/>
      <c r="D41" s="28"/>
      <c r="E41" s="28"/>
      <c r="F41" s="28"/>
    </row>
    <row r="42" spans="1:6" ht="31.5" x14ac:dyDescent="0.25">
      <c r="A42" s="29" t="s">
        <v>73</v>
      </c>
      <c r="B42" s="30" t="s">
        <v>407</v>
      </c>
      <c r="C42" s="28"/>
      <c r="D42" s="28"/>
      <c r="E42" s="28"/>
      <c r="F42" s="28"/>
    </row>
    <row r="43" spans="1:6" ht="15.75" x14ac:dyDescent="0.25">
      <c r="A43" s="29" t="s">
        <v>77</v>
      </c>
      <c r="B43" s="30" t="s">
        <v>408</v>
      </c>
      <c r="C43" s="28"/>
      <c r="D43" s="28"/>
      <c r="E43" s="28"/>
      <c r="F43" s="28"/>
    </row>
    <row r="44" spans="1:6" ht="15.75" x14ac:dyDescent="0.25">
      <c r="A44" s="29" t="s">
        <v>113</v>
      </c>
      <c r="B44" s="30" t="s">
        <v>247</v>
      </c>
      <c r="C44" s="28"/>
      <c r="D44" s="28"/>
      <c r="E44" s="28"/>
      <c r="F44" s="28"/>
    </row>
    <row r="45" spans="1:6" ht="15.75" x14ac:dyDescent="0.25">
      <c r="A45" s="29" t="s">
        <v>400</v>
      </c>
      <c r="B45" s="30" t="s">
        <v>98</v>
      </c>
      <c r="C45" s="28"/>
      <c r="D45" s="28"/>
      <c r="E45" s="28"/>
      <c r="F45" s="28"/>
    </row>
    <row r="46" spans="1:6" ht="15.75" x14ac:dyDescent="0.25">
      <c r="A46" s="29" t="s">
        <v>79</v>
      </c>
      <c r="B46" s="30" t="s">
        <v>422</v>
      </c>
      <c r="C46" s="28"/>
      <c r="D46" s="28"/>
      <c r="E46" s="28"/>
      <c r="F46" s="28"/>
    </row>
    <row r="47" spans="1:6" ht="18.75" customHeight="1" x14ac:dyDescent="0.25">
      <c r="A47" s="34" t="s">
        <v>288</v>
      </c>
    </row>
    <row r="48" spans="1:6" ht="15.75" x14ac:dyDescent="0.25">
      <c r="A48" s="450" t="s">
        <v>514</v>
      </c>
      <c r="B48" s="450"/>
      <c r="C48" s="450"/>
      <c r="D48" s="450"/>
      <c r="E48" s="450"/>
      <c r="F48" s="450"/>
    </row>
    <row r="49" spans="1:6" ht="15.75" x14ac:dyDescent="0.25">
      <c r="A49" s="447" t="s">
        <v>513</v>
      </c>
      <c r="B49" s="447"/>
      <c r="C49" s="447"/>
      <c r="D49" s="447"/>
      <c r="E49" s="447"/>
      <c r="F49" s="447"/>
    </row>
  </sheetData>
  <mergeCells count="9">
    <mergeCell ref="A49:F49"/>
    <mergeCell ref="A2:F2"/>
    <mergeCell ref="A3:F3"/>
    <mergeCell ref="A5:A6"/>
    <mergeCell ref="B5:B6"/>
    <mergeCell ref="C5:C6"/>
    <mergeCell ref="D5:D6"/>
    <mergeCell ref="E5:F5"/>
    <mergeCell ref="A48:F4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sheetPr>
  <dimension ref="A1:K33"/>
  <sheetViews>
    <sheetView workbookViewId="0">
      <selection activeCell="E33" sqref="E33"/>
    </sheetView>
  </sheetViews>
  <sheetFormatPr defaultColWidth="9.140625" defaultRowHeight="15" x14ac:dyDescent="0.25"/>
  <cols>
    <col min="1" max="1" width="5.85546875" style="1" customWidth="1"/>
    <col min="2" max="2" width="29.42578125" style="1" customWidth="1"/>
    <col min="3" max="16384" width="9.140625" style="1"/>
  </cols>
  <sheetData>
    <row r="1" spans="1:11" ht="15" customHeight="1" x14ac:dyDescent="0.25">
      <c r="A1" s="416" t="s">
        <v>0</v>
      </c>
      <c r="B1" s="416"/>
      <c r="C1" s="416"/>
      <c r="D1" s="416"/>
      <c r="E1" s="416"/>
      <c r="F1" s="416"/>
      <c r="G1" s="416"/>
      <c r="H1" s="416"/>
      <c r="I1" s="416"/>
      <c r="J1" s="416"/>
      <c r="K1" s="416"/>
    </row>
    <row r="2" spans="1:11" ht="18.75" x14ac:dyDescent="0.25">
      <c r="A2" s="417" t="s">
        <v>1</v>
      </c>
      <c r="B2" s="418"/>
      <c r="C2" s="418"/>
      <c r="D2" s="418"/>
      <c r="E2" s="418"/>
      <c r="F2" s="418"/>
      <c r="G2" s="418"/>
      <c r="H2" s="418"/>
      <c r="I2" s="418"/>
      <c r="J2" s="418"/>
      <c r="K2" s="418"/>
    </row>
    <row r="3" spans="1:11" ht="23.25" customHeight="1" x14ac:dyDescent="0.25">
      <c r="A3" s="419" t="s">
        <v>2</v>
      </c>
      <c r="B3" s="420"/>
      <c r="C3" s="420"/>
      <c r="D3" s="420"/>
      <c r="E3" s="420"/>
      <c r="F3" s="420"/>
      <c r="G3" s="420"/>
      <c r="H3" s="420"/>
      <c r="I3" s="420"/>
      <c r="J3" s="420"/>
      <c r="K3" s="420"/>
    </row>
    <row r="4" spans="1:11" x14ac:dyDescent="0.25">
      <c r="A4" s="421" t="s">
        <v>3</v>
      </c>
      <c r="B4" s="421" t="s">
        <v>4</v>
      </c>
      <c r="C4" s="421" t="s">
        <v>5</v>
      </c>
      <c r="D4" s="421" t="s">
        <v>6</v>
      </c>
      <c r="E4" s="421" t="s">
        <v>7</v>
      </c>
      <c r="F4" s="421"/>
      <c r="G4" s="421"/>
      <c r="H4" s="421"/>
      <c r="I4" s="421"/>
      <c r="J4" s="421"/>
      <c r="K4" s="421" t="s">
        <v>8</v>
      </c>
    </row>
    <row r="5" spans="1:11" ht="42.75" x14ac:dyDescent="0.25">
      <c r="A5" s="421"/>
      <c r="B5" s="421"/>
      <c r="C5" s="421"/>
      <c r="D5" s="421"/>
      <c r="E5" s="2" t="s">
        <v>9</v>
      </c>
      <c r="F5" s="2" t="s">
        <v>10</v>
      </c>
      <c r="G5" s="2" t="s">
        <v>11</v>
      </c>
      <c r="H5" s="2" t="s">
        <v>12</v>
      </c>
      <c r="I5" s="2" t="s">
        <v>13</v>
      </c>
      <c r="J5" s="2" t="s">
        <v>14</v>
      </c>
      <c r="K5" s="421"/>
    </row>
    <row r="6" spans="1:11" x14ac:dyDescent="0.25">
      <c r="A6" s="2" t="s">
        <v>15</v>
      </c>
      <c r="B6" s="2" t="s">
        <v>16</v>
      </c>
      <c r="C6" s="2">
        <v>1</v>
      </c>
      <c r="D6" s="2">
        <v>2</v>
      </c>
      <c r="E6" s="2">
        <v>3</v>
      </c>
      <c r="F6" s="2">
        <v>4</v>
      </c>
      <c r="G6" s="2">
        <v>5</v>
      </c>
      <c r="H6" s="2">
        <v>6</v>
      </c>
      <c r="I6" s="2">
        <v>7</v>
      </c>
      <c r="J6" s="2">
        <v>8</v>
      </c>
      <c r="K6" s="2">
        <v>9</v>
      </c>
    </row>
    <row r="7" spans="1:11" ht="30" x14ac:dyDescent="0.25">
      <c r="A7" s="3">
        <v>1</v>
      </c>
      <c r="B7" s="4" t="s">
        <v>17</v>
      </c>
      <c r="C7" s="3" t="s">
        <v>18</v>
      </c>
      <c r="D7" s="3"/>
      <c r="E7" s="3"/>
      <c r="F7" s="3"/>
      <c r="G7" s="3"/>
      <c r="H7" s="3"/>
      <c r="I7" s="3"/>
      <c r="J7" s="3"/>
      <c r="K7" s="3"/>
    </row>
    <row r="8" spans="1:11" x14ac:dyDescent="0.25">
      <c r="A8" s="3">
        <v>2</v>
      </c>
      <c r="B8" s="4" t="s">
        <v>19</v>
      </c>
      <c r="C8" s="3" t="s">
        <v>20</v>
      </c>
      <c r="D8" s="3"/>
      <c r="E8" s="3"/>
      <c r="F8" s="3"/>
      <c r="G8" s="3"/>
      <c r="H8" s="3"/>
      <c r="I8" s="3"/>
      <c r="J8" s="3"/>
      <c r="K8" s="3"/>
    </row>
    <row r="9" spans="1:11" x14ac:dyDescent="0.25">
      <c r="A9" s="3">
        <v>3</v>
      </c>
      <c r="B9" s="4" t="s">
        <v>21</v>
      </c>
      <c r="C9" s="3"/>
      <c r="D9" s="3"/>
      <c r="E9" s="3"/>
      <c r="F9" s="3"/>
      <c r="G9" s="3"/>
      <c r="H9" s="3"/>
      <c r="I9" s="3"/>
      <c r="J9" s="3"/>
      <c r="K9" s="3"/>
    </row>
    <row r="10" spans="1:11" x14ac:dyDescent="0.25">
      <c r="A10" s="3" t="s">
        <v>22</v>
      </c>
      <c r="B10" s="5" t="s">
        <v>23</v>
      </c>
      <c r="C10" s="3" t="s">
        <v>20</v>
      </c>
      <c r="D10" s="3"/>
      <c r="E10" s="3"/>
      <c r="F10" s="3"/>
      <c r="G10" s="3"/>
      <c r="H10" s="3"/>
      <c r="I10" s="3"/>
      <c r="J10" s="3"/>
      <c r="K10" s="3"/>
    </row>
    <row r="11" spans="1:11" x14ac:dyDescent="0.25">
      <c r="A11" s="3" t="s">
        <v>22</v>
      </c>
      <c r="B11" s="5" t="s">
        <v>24</v>
      </c>
      <c r="C11" s="3" t="s">
        <v>20</v>
      </c>
      <c r="D11" s="3"/>
      <c r="E11" s="3"/>
      <c r="F11" s="3"/>
      <c r="G11" s="3"/>
      <c r="H11" s="3"/>
      <c r="I11" s="3"/>
      <c r="J11" s="3"/>
      <c r="K11" s="3"/>
    </row>
    <row r="12" spans="1:11" x14ac:dyDescent="0.25">
      <c r="A12" s="3" t="s">
        <v>22</v>
      </c>
      <c r="B12" s="5" t="s">
        <v>25</v>
      </c>
      <c r="C12" s="3" t="s">
        <v>20</v>
      </c>
      <c r="D12" s="3"/>
      <c r="E12" s="3"/>
      <c r="F12" s="3"/>
      <c r="G12" s="3"/>
      <c r="H12" s="3"/>
      <c r="I12" s="3"/>
      <c r="J12" s="3"/>
      <c r="K12" s="3"/>
    </row>
    <row r="13" spans="1:11" x14ac:dyDescent="0.25">
      <c r="A13" s="3">
        <v>4</v>
      </c>
      <c r="B13" s="4" t="s">
        <v>26</v>
      </c>
      <c r="C13" s="3" t="s">
        <v>20</v>
      </c>
      <c r="D13" s="3"/>
      <c r="E13" s="3"/>
      <c r="F13" s="3"/>
      <c r="G13" s="3"/>
      <c r="H13" s="3"/>
      <c r="I13" s="3"/>
      <c r="J13" s="3"/>
      <c r="K13" s="3"/>
    </row>
    <row r="14" spans="1:11" ht="30" x14ac:dyDescent="0.25">
      <c r="A14" s="3">
        <v>5</v>
      </c>
      <c r="B14" s="4" t="s">
        <v>27</v>
      </c>
      <c r="C14" s="3" t="s">
        <v>18</v>
      </c>
      <c r="D14" s="3"/>
      <c r="E14" s="3"/>
      <c r="F14" s="3"/>
      <c r="G14" s="3"/>
      <c r="H14" s="3"/>
      <c r="I14" s="3"/>
      <c r="J14" s="3"/>
      <c r="K14" s="3"/>
    </row>
    <row r="15" spans="1:11" x14ac:dyDescent="0.25">
      <c r="A15" s="3"/>
      <c r="B15" s="5" t="s">
        <v>28</v>
      </c>
      <c r="C15" s="3" t="s">
        <v>20</v>
      </c>
      <c r="D15" s="3"/>
      <c r="E15" s="3"/>
      <c r="F15" s="3"/>
      <c r="G15" s="3"/>
      <c r="H15" s="3"/>
      <c r="I15" s="3"/>
      <c r="J15" s="3"/>
      <c r="K15" s="3"/>
    </row>
    <row r="16" spans="1:11" ht="30" x14ac:dyDescent="0.25">
      <c r="A16" s="3" t="s">
        <v>22</v>
      </c>
      <c r="B16" s="4" t="s">
        <v>29</v>
      </c>
      <c r="C16" s="3" t="s">
        <v>30</v>
      </c>
      <c r="D16" s="3"/>
      <c r="E16" s="3"/>
      <c r="F16" s="3"/>
      <c r="G16" s="3"/>
      <c r="H16" s="3"/>
      <c r="I16" s="3"/>
      <c r="J16" s="3"/>
      <c r="K16" s="3"/>
    </row>
    <row r="17" spans="1:11" ht="30" x14ac:dyDescent="0.25">
      <c r="A17" s="3" t="s">
        <v>22</v>
      </c>
      <c r="B17" s="4" t="s">
        <v>31</v>
      </c>
      <c r="C17" s="3" t="s">
        <v>18</v>
      </c>
      <c r="D17" s="3"/>
      <c r="E17" s="3"/>
      <c r="F17" s="3"/>
      <c r="G17" s="3"/>
      <c r="H17" s="3"/>
      <c r="I17" s="3"/>
      <c r="J17" s="3"/>
      <c r="K17" s="3"/>
    </row>
    <row r="18" spans="1:11" ht="30" x14ac:dyDescent="0.25">
      <c r="A18" s="3" t="s">
        <v>22</v>
      </c>
      <c r="B18" s="4" t="s">
        <v>32</v>
      </c>
      <c r="C18" s="3" t="s">
        <v>30</v>
      </c>
      <c r="D18" s="3"/>
      <c r="E18" s="3"/>
      <c r="F18" s="3"/>
      <c r="G18" s="3"/>
      <c r="H18" s="3"/>
      <c r="I18" s="3"/>
      <c r="J18" s="3"/>
      <c r="K18" s="3"/>
    </row>
    <row r="19" spans="1:11" ht="30" x14ac:dyDescent="0.25">
      <c r="A19" s="3" t="s">
        <v>22</v>
      </c>
      <c r="B19" s="4" t="s">
        <v>33</v>
      </c>
      <c r="C19" s="3" t="s">
        <v>18</v>
      </c>
      <c r="D19" s="3"/>
      <c r="E19" s="3"/>
      <c r="F19" s="3"/>
      <c r="G19" s="3"/>
      <c r="H19" s="3"/>
      <c r="I19" s="3"/>
      <c r="J19" s="3"/>
      <c r="K19" s="3"/>
    </row>
    <row r="20" spans="1:11" ht="30" x14ac:dyDescent="0.25">
      <c r="A20" s="3">
        <v>6</v>
      </c>
      <c r="B20" s="4" t="s">
        <v>34</v>
      </c>
      <c r="C20" s="3" t="s">
        <v>35</v>
      </c>
      <c r="D20" s="3"/>
      <c r="E20" s="3"/>
      <c r="F20" s="3"/>
      <c r="G20" s="3"/>
      <c r="H20" s="3"/>
      <c r="I20" s="3"/>
      <c r="J20" s="3"/>
      <c r="K20" s="3"/>
    </row>
    <row r="21" spans="1:11" x14ac:dyDescent="0.25">
      <c r="A21" s="3"/>
      <c r="B21" s="5" t="s">
        <v>36</v>
      </c>
      <c r="C21" s="3" t="s">
        <v>20</v>
      </c>
      <c r="D21" s="3"/>
      <c r="E21" s="3"/>
      <c r="F21" s="3"/>
      <c r="G21" s="3"/>
      <c r="H21" s="3"/>
      <c r="I21" s="3"/>
      <c r="J21" s="3"/>
      <c r="K21" s="3"/>
    </row>
    <row r="22" spans="1:11" ht="30" x14ac:dyDescent="0.25">
      <c r="A22" s="3">
        <v>7</v>
      </c>
      <c r="B22" s="4" t="s">
        <v>37</v>
      </c>
      <c r="C22" s="3" t="s">
        <v>38</v>
      </c>
      <c r="D22" s="3"/>
      <c r="E22" s="3"/>
      <c r="F22" s="3"/>
      <c r="G22" s="3"/>
      <c r="H22" s="3"/>
      <c r="I22" s="3"/>
      <c r="J22" s="3"/>
      <c r="K22" s="3"/>
    </row>
    <row r="23" spans="1:11" x14ac:dyDescent="0.25">
      <c r="A23" s="3"/>
      <c r="B23" s="5" t="s">
        <v>36</v>
      </c>
      <c r="C23" s="3" t="s">
        <v>20</v>
      </c>
      <c r="D23" s="3"/>
      <c r="E23" s="3"/>
      <c r="F23" s="3"/>
      <c r="G23" s="3"/>
      <c r="H23" s="3"/>
      <c r="I23" s="3"/>
      <c r="J23" s="3"/>
      <c r="K23" s="3"/>
    </row>
    <row r="24" spans="1:11" ht="30" x14ac:dyDescent="0.25">
      <c r="A24" s="3">
        <v>8</v>
      </c>
      <c r="B24" s="4" t="s">
        <v>39</v>
      </c>
      <c r="C24" s="3" t="s">
        <v>40</v>
      </c>
      <c r="D24" s="3"/>
      <c r="E24" s="3"/>
      <c r="F24" s="3"/>
      <c r="G24" s="3"/>
      <c r="H24" s="3"/>
      <c r="I24" s="3"/>
      <c r="J24" s="3"/>
      <c r="K24" s="3"/>
    </row>
    <row r="25" spans="1:11" ht="30" x14ac:dyDescent="0.25">
      <c r="A25" s="3">
        <v>9</v>
      </c>
      <c r="B25" s="4" t="s">
        <v>41</v>
      </c>
      <c r="C25" s="3" t="s">
        <v>18</v>
      </c>
      <c r="D25" s="3"/>
      <c r="E25" s="3"/>
      <c r="F25" s="3"/>
      <c r="G25" s="3"/>
      <c r="H25" s="3"/>
      <c r="I25" s="3"/>
      <c r="J25" s="3"/>
      <c r="K25" s="3"/>
    </row>
    <row r="26" spans="1:11" ht="30" x14ac:dyDescent="0.25">
      <c r="A26" s="3">
        <v>10</v>
      </c>
      <c r="B26" s="4" t="s">
        <v>42</v>
      </c>
      <c r="C26" s="3" t="s">
        <v>43</v>
      </c>
      <c r="D26" s="3"/>
      <c r="E26" s="3"/>
      <c r="F26" s="3"/>
      <c r="G26" s="3"/>
      <c r="H26" s="3"/>
      <c r="I26" s="3"/>
      <c r="J26" s="3"/>
      <c r="K26" s="3"/>
    </row>
    <row r="27" spans="1:11" x14ac:dyDescent="0.25">
      <c r="A27" s="3">
        <v>11</v>
      </c>
      <c r="B27" s="4" t="s">
        <v>44</v>
      </c>
      <c r="C27" s="3" t="s">
        <v>20</v>
      </c>
      <c r="D27" s="3"/>
      <c r="E27" s="3"/>
      <c r="F27" s="3"/>
      <c r="G27" s="3"/>
      <c r="H27" s="3"/>
      <c r="I27" s="3"/>
      <c r="J27" s="3"/>
      <c r="K27" s="3"/>
    </row>
    <row r="28" spans="1:11" x14ac:dyDescent="0.25">
      <c r="A28" s="3">
        <v>12</v>
      </c>
      <c r="B28" s="4" t="s">
        <v>45</v>
      </c>
      <c r="C28" s="3" t="s">
        <v>20</v>
      </c>
      <c r="D28" s="3"/>
      <c r="E28" s="3"/>
      <c r="F28" s="3"/>
      <c r="G28" s="3"/>
      <c r="H28" s="3"/>
      <c r="I28" s="3"/>
      <c r="J28" s="3"/>
      <c r="K28" s="3"/>
    </row>
    <row r="29" spans="1:11" x14ac:dyDescent="0.25">
      <c r="A29" s="3">
        <v>13</v>
      </c>
      <c r="B29" s="4" t="s">
        <v>46</v>
      </c>
      <c r="C29" s="3" t="s">
        <v>47</v>
      </c>
      <c r="D29" s="3"/>
      <c r="E29" s="3"/>
      <c r="F29" s="3"/>
      <c r="G29" s="3"/>
      <c r="H29" s="3"/>
      <c r="I29" s="3"/>
      <c r="J29" s="3"/>
      <c r="K29" s="3"/>
    </row>
    <row r="30" spans="1:11" ht="30" x14ac:dyDescent="0.25">
      <c r="A30" s="3">
        <v>14</v>
      </c>
      <c r="B30" s="4" t="s">
        <v>48</v>
      </c>
      <c r="C30" s="3" t="s">
        <v>20</v>
      </c>
      <c r="D30" s="3"/>
      <c r="E30" s="3"/>
      <c r="F30" s="3"/>
      <c r="G30" s="3"/>
      <c r="H30" s="3"/>
      <c r="I30" s="3"/>
      <c r="J30" s="3"/>
      <c r="K30" s="3"/>
    </row>
    <row r="31" spans="1:11" ht="30" x14ac:dyDescent="0.25">
      <c r="A31" s="3">
        <v>15</v>
      </c>
      <c r="B31" s="4" t="s">
        <v>49</v>
      </c>
      <c r="C31" s="3" t="s">
        <v>50</v>
      </c>
      <c r="D31" s="3"/>
      <c r="E31" s="3"/>
      <c r="F31" s="3"/>
      <c r="G31" s="3"/>
      <c r="H31" s="3"/>
      <c r="I31" s="3"/>
      <c r="J31" s="3"/>
      <c r="K31" s="3"/>
    </row>
    <row r="32" spans="1:11" ht="23.25" customHeight="1" x14ac:dyDescent="0.25">
      <c r="A32" s="3">
        <v>16</v>
      </c>
      <c r="B32" s="4" t="s">
        <v>51</v>
      </c>
      <c r="C32" s="3"/>
      <c r="D32" s="3"/>
      <c r="E32" s="3"/>
      <c r="F32" s="3"/>
      <c r="G32" s="3"/>
      <c r="H32" s="3"/>
      <c r="I32" s="3"/>
      <c r="J32" s="3"/>
      <c r="K32" s="3"/>
    </row>
    <row r="33" spans="1:1" x14ac:dyDescent="0.25">
      <c r="A33" s="6" t="s">
        <v>52</v>
      </c>
    </row>
  </sheetData>
  <mergeCells count="9">
    <mergeCell ref="A1:K1"/>
    <mergeCell ref="A2:K2"/>
    <mergeCell ref="A3:K3"/>
    <mergeCell ref="A4:A5"/>
    <mergeCell ref="B4:B5"/>
    <mergeCell ref="C4:C5"/>
    <mergeCell ref="D4:D5"/>
    <mergeCell ref="E4:J4"/>
    <mergeCell ref="K4:K5"/>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0000"/>
  </sheetPr>
  <dimension ref="A1:K19"/>
  <sheetViews>
    <sheetView workbookViewId="0"/>
  </sheetViews>
  <sheetFormatPr defaultRowHeight="15" x14ac:dyDescent="0.25"/>
  <cols>
    <col min="1" max="1" width="5.5703125" customWidth="1"/>
    <col min="2" max="2" width="36.5703125" customWidth="1"/>
  </cols>
  <sheetData>
    <row r="1" spans="1:11" ht="15.75" x14ac:dyDescent="0.25">
      <c r="K1" s="25" t="s">
        <v>515</v>
      </c>
    </row>
    <row r="2" spans="1:11" ht="15.75" x14ac:dyDescent="0.25">
      <c r="A2" s="448" t="s">
        <v>516</v>
      </c>
      <c r="B2" s="448"/>
      <c r="C2" s="448"/>
      <c r="D2" s="448"/>
      <c r="E2" s="448"/>
      <c r="F2" s="448"/>
      <c r="G2" s="448"/>
      <c r="H2" s="448"/>
      <c r="I2" s="448"/>
      <c r="J2" s="448"/>
      <c r="K2" s="448"/>
    </row>
    <row r="3" spans="1:11" ht="15.75" x14ac:dyDescent="0.25">
      <c r="A3" s="414" t="s">
        <v>126</v>
      </c>
      <c r="B3" s="414"/>
      <c r="C3" s="414"/>
      <c r="D3" s="414"/>
      <c r="E3" s="414"/>
      <c r="F3" s="414"/>
      <c r="G3" s="414"/>
      <c r="H3" s="414"/>
      <c r="I3" s="414"/>
      <c r="J3" s="414"/>
      <c r="K3" s="414"/>
    </row>
    <row r="4" spans="1:11" ht="15.75" x14ac:dyDescent="0.25">
      <c r="K4" s="26" t="s">
        <v>56</v>
      </c>
    </row>
    <row r="5" spans="1:11" ht="29.25" customHeight="1" x14ac:dyDescent="0.25">
      <c r="A5" s="449" t="s">
        <v>3</v>
      </c>
      <c r="B5" s="449" t="s">
        <v>161</v>
      </c>
      <c r="C5" s="449" t="s">
        <v>130</v>
      </c>
      <c r="D5" s="449" t="s">
        <v>363</v>
      </c>
      <c r="E5" s="449" t="s">
        <v>96</v>
      </c>
      <c r="F5" s="449" t="s">
        <v>517</v>
      </c>
      <c r="G5" s="449" t="s">
        <v>518</v>
      </c>
      <c r="H5" s="449" t="s">
        <v>519</v>
      </c>
      <c r="I5" s="449"/>
      <c r="J5" s="449"/>
      <c r="K5" s="449" t="s">
        <v>520</v>
      </c>
    </row>
    <row r="6" spans="1:11" ht="108" customHeight="1" x14ac:dyDescent="0.25">
      <c r="A6" s="449"/>
      <c r="B6" s="449"/>
      <c r="C6" s="449"/>
      <c r="D6" s="449"/>
      <c r="E6" s="449"/>
      <c r="F6" s="449"/>
      <c r="G6" s="449"/>
      <c r="H6" s="29" t="s">
        <v>130</v>
      </c>
      <c r="I6" s="29" t="s">
        <v>363</v>
      </c>
      <c r="J6" s="29" t="s">
        <v>96</v>
      </c>
      <c r="K6" s="449"/>
    </row>
    <row r="7" spans="1:11" ht="15.75" x14ac:dyDescent="0.25">
      <c r="A7" s="29" t="s">
        <v>15</v>
      </c>
      <c r="B7" s="29" t="s">
        <v>16</v>
      </c>
      <c r="C7" s="29">
        <v>1</v>
      </c>
      <c r="D7" s="29">
        <v>2</v>
      </c>
      <c r="E7" s="29">
        <v>3</v>
      </c>
      <c r="F7" s="29">
        <v>4</v>
      </c>
      <c r="G7" s="29">
        <v>5</v>
      </c>
      <c r="H7" s="29">
        <v>6</v>
      </c>
      <c r="I7" s="29">
        <v>7</v>
      </c>
      <c r="J7" s="29">
        <v>8</v>
      </c>
      <c r="K7" s="29">
        <v>9</v>
      </c>
    </row>
    <row r="8" spans="1:11" ht="15.75" x14ac:dyDescent="0.25">
      <c r="A8" s="29"/>
      <c r="B8" s="30" t="s">
        <v>133</v>
      </c>
      <c r="C8" s="28"/>
      <c r="D8" s="28"/>
      <c r="E8" s="28"/>
      <c r="F8" s="28"/>
      <c r="G8" s="28"/>
      <c r="H8" s="28"/>
      <c r="I8" s="28"/>
      <c r="J8" s="28"/>
      <c r="K8" s="28"/>
    </row>
    <row r="9" spans="1:11" ht="15.75" x14ac:dyDescent="0.25">
      <c r="A9" s="29" t="s">
        <v>83</v>
      </c>
      <c r="B9" s="30" t="s">
        <v>521</v>
      </c>
      <c r="C9" s="28"/>
      <c r="D9" s="28"/>
      <c r="E9" s="28"/>
      <c r="F9" s="28"/>
      <c r="G9" s="28"/>
      <c r="H9" s="28"/>
      <c r="I9" s="28"/>
      <c r="J9" s="28"/>
      <c r="K9" s="28"/>
    </row>
    <row r="10" spans="1:11" ht="15.75" x14ac:dyDescent="0.25">
      <c r="A10" s="29">
        <v>1</v>
      </c>
      <c r="B10" s="30" t="s">
        <v>166</v>
      </c>
      <c r="C10" s="28"/>
      <c r="D10" s="28"/>
      <c r="E10" s="28"/>
      <c r="F10" s="28"/>
      <c r="G10" s="28"/>
      <c r="H10" s="28"/>
      <c r="I10" s="28"/>
      <c r="J10" s="28"/>
      <c r="K10" s="28"/>
    </row>
    <row r="11" spans="1:11" ht="15.75" x14ac:dyDescent="0.25">
      <c r="A11" s="29">
        <v>2</v>
      </c>
      <c r="B11" s="30" t="s">
        <v>167</v>
      </c>
      <c r="C11" s="28"/>
      <c r="D11" s="28"/>
      <c r="E11" s="28"/>
      <c r="F11" s="28"/>
      <c r="G11" s="28"/>
      <c r="H11" s="28"/>
      <c r="I11" s="28"/>
      <c r="J11" s="28"/>
      <c r="K11" s="28"/>
    </row>
    <row r="12" spans="1:11" ht="15.75" x14ac:dyDescent="0.25">
      <c r="A12" s="29">
        <v>3</v>
      </c>
      <c r="B12" s="30" t="s">
        <v>522</v>
      </c>
      <c r="C12" s="28"/>
      <c r="D12" s="28"/>
      <c r="E12" s="28"/>
      <c r="F12" s="28"/>
      <c r="G12" s="28"/>
      <c r="H12" s="28"/>
      <c r="I12" s="28"/>
      <c r="J12" s="28"/>
      <c r="K12" s="28"/>
    </row>
    <row r="13" spans="1:11" ht="47.25" x14ac:dyDescent="0.25">
      <c r="A13" s="29" t="s">
        <v>70</v>
      </c>
      <c r="B13" s="30" t="s">
        <v>523</v>
      </c>
      <c r="C13" s="28"/>
      <c r="D13" s="28"/>
      <c r="E13" s="28"/>
      <c r="F13" s="28"/>
      <c r="G13" s="28"/>
      <c r="H13" s="28"/>
      <c r="I13" s="28"/>
      <c r="J13" s="28"/>
      <c r="K13" s="28"/>
    </row>
    <row r="14" spans="1:11" ht="31.5" x14ac:dyDescent="0.25">
      <c r="A14" s="29" t="s">
        <v>73</v>
      </c>
      <c r="B14" s="30" t="s">
        <v>524</v>
      </c>
      <c r="C14" s="28"/>
      <c r="D14" s="28"/>
      <c r="E14" s="28"/>
      <c r="F14" s="28"/>
      <c r="G14" s="28"/>
      <c r="H14" s="28"/>
      <c r="I14" s="28"/>
      <c r="J14" s="28"/>
      <c r="K14" s="28"/>
    </row>
    <row r="15" spans="1:11" ht="31.5" x14ac:dyDescent="0.25">
      <c r="A15" s="29" t="s">
        <v>77</v>
      </c>
      <c r="B15" s="30" t="s">
        <v>525</v>
      </c>
      <c r="C15" s="28"/>
      <c r="D15" s="28"/>
      <c r="E15" s="28"/>
      <c r="F15" s="28"/>
      <c r="G15" s="28"/>
      <c r="H15" s="28"/>
      <c r="I15" s="28"/>
      <c r="J15" s="28"/>
      <c r="K15" s="28"/>
    </row>
    <row r="16" spans="1:11" ht="31.5" x14ac:dyDescent="0.25">
      <c r="A16" s="29" t="s">
        <v>113</v>
      </c>
      <c r="B16" s="30" t="s">
        <v>526</v>
      </c>
      <c r="C16" s="28"/>
      <c r="D16" s="28"/>
      <c r="E16" s="28"/>
      <c r="F16" s="28"/>
      <c r="G16" s="28"/>
      <c r="H16" s="28"/>
      <c r="I16" s="28"/>
      <c r="J16" s="28"/>
      <c r="K16" s="28"/>
    </row>
    <row r="17" spans="1:11" ht="15.75" x14ac:dyDescent="0.25">
      <c r="A17" s="27" t="s">
        <v>528</v>
      </c>
    </row>
    <row r="18" spans="1:11" ht="30.75" customHeight="1" x14ac:dyDescent="0.25">
      <c r="A18" s="447" t="s">
        <v>529</v>
      </c>
      <c r="B18" s="447"/>
      <c r="C18" s="447"/>
      <c r="D18" s="447"/>
      <c r="E18" s="447"/>
      <c r="F18" s="447"/>
      <c r="G18" s="447"/>
      <c r="H18" s="447"/>
      <c r="I18" s="447"/>
      <c r="J18" s="447"/>
      <c r="K18" s="447"/>
    </row>
    <row r="19" spans="1:11" ht="15.75" x14ac:dyDescent="0.25">
      <c r="A19" s="450" t="s">
        <v>527</v>
      </c>
      <c r="B19" s="450"/>
      <c r="C19" s="450"/>
      <c r="D19" s="450"/>
      <c r="E19" s="450"/>
      <c r="F19" s="450"/>
      <c r="G19" s="450"/>
      <c r="H19" s="450"/>
      <c r="I19" s="450"/>
      <c r="J19" s="450"/>
      <c r="K19" s="450"/>
    </row>
  </sheetData>
  <mergeCells count="13">
    <mergeCell ref="A19:K19"/>
    <mergeCell ref="G5:G6"/>
    <mergeCell ref="H5:J5"/>
    <mergeCell ref="K5:K6"/>
    <mergeCell ref="A2:K2"/>
    <mergeCell ref="A3:K3"/>
    <mergeCell ref="A18:K18"/>
    <mergeCell ref="A5:A6"/>
    <mergeCell ref="B5:B6"/>
    <mergeCell ref="C5:C6"/>
    <mergeCell ref="D5:D6"/>
    <mergeCell ref="E5:E6"/>
    <mergeCell ref="F5:F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0000"/>
  </sheetPr>
  <dimension ref="A1:R12"/>
  <sheetViews>
    <sheetView workbookViewId="0"/>
  </sheetViews>
  <sheetFormatPr defaultRowHeight="15" x14ac:dyDescent="0.25"/>
  <cols>
    <col min="1" max="1" width="5.85546875" customWidth="1"/>
    <col min="2" max="2" width="36" customWidth="1"/>
    <col min="16" max="16" width="10.7109375" customWidth="1"/>
  </cols>
  <sheetData>
    <row r="1" spans="1:18" ht="15.75" x14ac:dyDescent="0.25">
      <c r="R1" s="25" t="s">
        <v>530</v>
      </c>
    </row>
    <row r="2" spans="1:18" ht="15.75" x14ac:dyDescent="0.25">
      <c r="A2" s="414" t="s">
        <v>531</v>
      </c>
      <c r="B2" s="414"/>
      <c r="C2" s="414"/>
      <c r="D2" s="414"/>
      <c r="E2" s="414"/>
      <c r="F2" s="414"/>
      <c r="G2" s="414"/>
      <c r="H2" s="414"/>
      <c r="I2" s="414"/>
      <c r="J2" s="414"/>
      <c r="K2" s="414"/>
      <c r="L2" s="414"/>
      <c r="M2" s="414"/>
      <c r="N2" s="414"/>
      <c r="O2" s="414"/>
      <c r="P2" s="414"/>
      <c r="Q2" s="414"/>
      <c r="R2" s="414"/>
    </row>
    <row r="3" spans="1:18" ht="15.75" x14ac:dyDescent="0.25">
      <c r="A3" s="414" t="s">
        <v>126</v>
      </c>
      <c r="B3" s="414"/>
      <c r="C3" s="414"/>
      <c r="D3" s="414"/>
      <c r="E3" s="414"/>
      <c r="F3" s="414"/>
      <c r="G3" s="414"/>
      <c r="H3" s="414"/>
      <c r="I3" s="414"/>
      <c r="J3" s="414"/>
      <c r="K3" s="414"/>
      <c r="L3" s="414"/>
      <c r="M3" s="414"/>
      <c r="N3" s="414"/>
      <c r="O3" s="414"/>
      <c r="P3" s="414"/>
      <c r="Q3" s="414"/>
      <c r="R3" s="414"/>
    </row>
    <row r="4" spans="1:18" ht="15.75" x14ac:dyDescent="0.25">
      <c r="R4" s="26" t="s">
        <v>56</v>
      </c>
    </row>
    <row r="5" spans="1:18" ht="15.75" x14ac:dyDescent="0.25">
      <c r="A5" s="449" t="s">
        <v>3</v>
      </c>
      <c r="B5" s="449" t="s">
        <v>161</v>
      </c>
      <c r="C5" s="449" t="s">
        <v>130</v>
      </c>
      <c r="D5" s="449" t="s">
        <v>393</v>
      </c>
      <c r="E5" s="449" t="s">
        <v>394</v>
      </c>
      <c r="F5" s="449" t="s">
        <v>501</v>
      </c>
      <c r="G5" s="449" t="s">
        <v>502</v>
      </c>
      <c r="H5" s="449" t="s">
        <v>503</v>
      </c>
      <c r="I5" s="449" t="s">
        <v>504</v>
      </c>
      <c r="J5" s="449" t="s">
        <v>505</v>
      </c>
      <c r="K5" s="449" t="s">
        <v>506</v>
      </c>
      <c r="L5" s="449" t="s">
        <v>507</v>
      </c>
      <c r="M5" s="449" t="s">
        <v>508</v>
      </c>
      <c r="N5" s="449" t="s">
        <v>162</v>
      </c>
      <c r="O5" s="449"/>
      <c r="P5" s="449" t="s">
        <v>509</v>
      </c>
      <c r="Q5" s="449" t="s">
        <v>510</v>
      </c>
      <c r="R5" s="449" t="s">
        <v>511</v>
      </c>
    </row>
    <row r="6" spans="1:18" ht="110.25" x14ac:dyDescent="0.25">
      <c r="A6" s="449"/>
      <c r="B6" s="449"/>
      <c r="C6" s="449"/>
      <c r="D6" s="449"/>
      <c r="E6" s="449"/>
      <c r="F6" s="449"/>
      <c r="G6" s="449"/>
      <c r="H6" s="449"/>
      <c r="I6" s="449"/>
      <c r="J6" s="449"/>
      <c r="K6" s="449"/>
      <c r="L6" s="449"/>
      <c r="M6" s="449"/>
      <c r="N6" s="29" t="s">
        <v>532</v>
      </c>
      <c r="O6" s="29" t="s">
        <v>533</v>
      </c>
      <c r="P6" s="449"/>
      <c r="Q6" s="449"/>
      <c r="R6" s="449"/>
    </row>
    <row r="7" spans="1:18"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row>
    <row r="8" spans="1:18" ht="33" customHeight="1" x14ac:dyDescent="0.25">
      <c r="A8" s="29"/>
      <c r="B8" s="30" t="s">
        <v>133</v>
      </c>
      <c r="C8" s="28"/>
      <c r="D8" s="28"/>
      <c r="E8" s="28"/>
      <c r="F8" s="28"/>
      <c r="G8" s="28"/>
      <c r="H8" s="28"/>
      <c r="I8" s="28"/>
      <c r="J8" s="28"/>
      <c r="K8" s="28"/>
      <c r="L8" s="28"/>
      <c r="M8" s="28"/>
      <c r="N8" s="28"/>
      <c r="O8" s="28"/>
      <c r="P8" s="28"/>
      <c r="Q8" s="28"/>
      <c r="R8" s="28"/>
    </row>
    <row r="9" spans="1:18" ht="46.5" customHeight="1" x14ac:dyDescent="0.25">
      <c r="A9" s="29">
        <v>1</v>
      </c>
      <c r="B9" s="30" t="s">
        <v>166</v>
      </c>
      <c r="C9" s="28"/>
      <c r="D9" s="28"/>
      <c r="E9" s="28"/>
      <c r="F9" s="28"/>
      <c r="G9" s="28"/>
      <c r="H9" s="28"/>
      <c r="I9" s="28"/>
      <c r="J9" s="28"/>
      <c r="K9" s="28"/>
      <c r="L9" s="28"/>
      <c r="M9" s="28"/>
      <c r="N9" s="28"/>
      <c r="O9" s="28"/>
      <c r="P9" s="28"/>
      <c r="Q9" s="28"/>
      <c r="R9" s="28"/>
    </row>
    <row r="10" spans="1:18" ht="46.5" customHeight="1" x14ac:dyDescent="0.25">
      <c r="A10" s="29">
        <v>2</v>
      </c>
      <c r="B10" s="30" t="s">
        <v>167</v>
      </c>
      <c r="C10" s="28"/>
      <c r="D10" s="28"/>
      <c r="E10" s="28"/>
      <c r="F10" s="28"/>
      <c r="G10" s="28"/>
      <c r="H10" s="28"/>
      <c r="I10" s="28"/>
      <c r="J10" s="28"/>
      <c r="K10" s="28"/>
      <c r="L10" s="28"/>
      <c r="M10" s="28"/>
      <c r="N10" s="28"/>
      <c r="O10" s="28"/>
      <c r="P10" s="28"/>
      <c r="Q10" s="28"/>
      <c r="R10" s="28"/>
    </row>
    <row r="11" spans="1:18" ht="46.5" customHeight="1" x14ac:dyDescent="0.25">
      <c r="A11" s="29">
        <v>3</v>
      </c>
      <c r="B11" s="30" t="s">
        <v>534</v>
      </c>
      <c r="C11" s="28"/>
      <c r="D11" s="28"/>
      <c r="E11" s="28"/>
      <c r="F11" s="28"/>
      <c r="G11" s="28"/>
      <c r="H11" s="28"/>
      <c r="I11" s="28"/>
      <c r="J11" s="28"/>
      <c r="K11" s="28"/>
      <c r="L11" s="28"/>
      <c r="M11" s="28"/>
      <c r="N11" s="28"/>
      <c r="O11" s="28"/>
      <c r="P11" s="28"/>
      <c r="Q11" s="28"/>
      <c r="R11" s="28"/>
    </row>
    <row r="12" spans="1:18" ht="15.75" x14ac:dyDescent="0.25">
      <c r="A12" s="35"/>
    </row>
  </sheetData>
  <mergeCells count="19">
    <mergeCell ref="A2:R2"/>
    <mergeCell ref="A3:R3"/>
    <mergeCell ref="G5:G6"/>
    <mergeCell ref="H5:H6"/>
    <mergeCell ref="I5:I6"/>
    <mergeCell ref="J5:J6"/>
    <mergeCell ref="K5:K6"/>
    <mergeCell ref="L5:L6"/>
    <mergeCell ref="A5:A6"/>
    <mergeCell ref="B5:B6"/>
    <mergeCell ref="C5:C6"/>
    <mergeCell ref="D5:D6"/>
    <mergeCell ref="E5:E6"/>
    <mergeCell ref="F5:F6"/>
    <mergeCell ref="M5:M6"/>
    <mergeCell ref="N5:O5"/>
    <mergeCell ref="P5:P6"/>
    <mergeCell ref="Q5:Q6"/>
    <mergeCell ref="R5:R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0000"/>
  </sheetPr>
  <dimension ref="A1:R11"/>
  <sheetViews>
    <sheetView topLeftCell="C1" workbookViewId="0"/>
  </sheetViews>
  <sheetFormatPr defaultRowHeight="15" x14ac:dyDescent="0.25"/>
  <cols>
    <col min="1" max="1" width="6.140625" customWidth="1"/>
    <col min="2" max="2" width="26.28515625" customWidth="1"/>
    <col min="16" max="16" width="10.85546875" customWidth="1"/>
  </cols>
  <sheetData>
    <row r="1" spans="1:18" ht="15.75" x14ac:dyDescent="0.25">
      <c r="R1" s="25" t="s">
        <v>535</v>
      </c>
    </row>
    <row r="2" spans="1:18" ht="15.75" x14ac:dyDescent="0.25">
      <c r="A2" s="414" t="s">
        <v>536</v>
      </c>
      <c r="B2" s="414"/>
      <c r="C2" s="414"/>
      <c r="D2" s="414"/>
      <c r="E2" s="414"/>
      <c r="F2" s="414"/>
      <c r="G2" s="414"/>
      <c r="H2" s="414"/>
      <c r="I2" s="414"/>
      <c r="J2" s="414"/>
      <c r="K2" s="414"/>
      <c r="L2" s="414"/>
      <c r="M2" s="414"/>
      <c r="N2" s="414"/>
      <c r="O2" s="414"/>
      <c r="P2" s="414"/>
      <c r="Q2" s="414"/>
      <c r="R2" s="414"/>
    </row>
    <row r="3" spans="1:18" ht="15.75" x14ac:dyDescent="0.25">
      <c r="A3" s="414" t="s">
        <v>126</v>
      </c>
      <c r="B3" s="414"/>
      <c r="C3" s="414"/>
      <c r="D3" s="414"/>
      <c r="E3" s="414"/>
      <c r="F3" s="414"/>
      <c r="G3" s="414"/>
      <c r="H3" s="414"/>
      <c r="I3" s="414"/>
      <c r="J3" s="414"/>
      <c r="K3" s="414"/>
      <c r="L3" s="414"/>
      <c r="M3" s="414"/>
      <c r="N3" s="414"/>
      <c r="O3" s="414"/>
      <c r="P3" s="414"/>
      <c r="Q3" s="414"/>
      <c r="R3" s="414"/>
    </row>
    <row r="4" spans="1:18" ht="15.75" x14ac:dyDescent="0.25">
      <c r="R4" s="26" t="s">
        <v>56</v>
      </c>
    </row>
    <row r="5" spans="1:18" ht="15.75" x14ac:dyDescent="0.25">
      <c r="A5" s="449" t="s">
        <v>3</v>
      </c>
      <c r="B5" s="449" t="s">
        <v>161</v>
      </c>
      <c r="C5" s="449" t="s">
        <v>130</v>
      </c>
      <c r="D5" s="449" t="s">
        <v>393</v>
      </c>
      <c r="E5" s="449" t="s">
        <v>394</v>
      </c>
      <c r="F5" s="449" t="s">
        <v>501</v>
      </c>
      <c r="G5" s="449" t="s">
        <v>502</v>
      </c>
      <c r="H5" s="449" t="s">
        <v>503</v>
      </c>
      <c r="I5" s="449" t="s">
        <v>504</v>
      </c>
      <c r="J5" s="449" t="s">
        <v>505</v>
      </c>
      <c r="K5" s="449" t="s">
        <v>506</v>
      </c>
      <c r="L5" s="449" t="s">
        <v>507</v>
      </c>
      <c r="M5" s="449" t="s">
        <v>508</v>
      </c>
      <c r="N5" s="449" t="s">
        <v>162</v>
      </c>
      <c r="O5" s="449"/>
      <c r="P5" s="449" t="s">
        <v>509</v>
      </c>
      <c r="Q5" s="449" t="s">
        <v>510</v>
      </c>
      <c r="R5" s="449" t="s">
        <v>511</v>
      </c>
    </row>
    <row r="6" spans="1:18" ht="110.25" x14ac:dyDescent="0.25">
      <c r="A6" s="449"/>
      <c r="B6" s="449"/>
      <c r="C6" s="449"/>
      <c r="D6" s="449"/>
      <c r="E6" s="449"/>
      <c r="F6" s="449"/>
      <c r="G6" s="449"/>
      <c r="H6" s="449"/>
      <c r="I6" s="449"/>
      <c r="J6" s="449"/>
      <c r="K6" s="449"/>
      <c r="L6" s="449"/>
      <c r="M6" s="449"/>
      <c r="N6" s="29" t="s">
        <v>532</v>
      </c>
      <c r="O6" s="29" t="s">
        <v>533</v>
      </c>
      <c r="P6" s="449"/>
      <c r="Q6" s="449"/>
      <c r="R6" s="449"/>
    </row>
    <row r="7" spans="1:18" ht="15.75" x14ac:dyDescent="0.25">
      <c r="A7" s="29" t="s">
        <v>15</v>
      </c>
      <c r="B7" s="29" t="s">
        <v>16</v>
      </c>
      <c r="C7" s="29">
        <v>1</v>
      </c>
      <c r="D7" s="29">
        <v>2</v>
      </c>
      <c r="E7" s="29">
        <v>3</v>
      </c>
      <c r="F7" s="29">
        <v>4</v>
      </c>
      <c r="G7" s="29">
        <v>5</v>
      </c>
      <c r="H7" s="29">
        <v>6</v>
      </c>
      <c r="I7" s="29">
        <v>7</v>
      </c>
      <c r="J7" s="29">
        <v>8</v>
      </c>
      <c r="K7" s="29">
        <v>9</v>
      </c>
      <c r="L7" s="29">
        <v>10</v>
      </c>
      <c r="M7" s="29">
        <v>11</v>
      </c>
      <c r="N7" s="29">
        <v>12</v>
      </c>
      <c r="O7" s="29">
        <v>13</v>
      </c>
      <c r="P7" s="29">
        <v>14</v>
      </c>
      <c r="Q7" s="29">
        <v>15</v>
      </c>
      <c r="R7" s="29">
        <v>16</v>
      </c>
    </row>
    <row r="8" spans="1:18" ht="33" customHeight="1" x14ac:dyDescent="0.25">
      <c r="A8" s="29"/>
      <c r="B8" s="30" t="s">
        <v>133</v>
      </c>
      <c r="C8" s="28"/>
      <c r="D8" s="28"/>
      <c r="E8" s="28"/>
      <c r="F8" s="28"/>
      <c r="G8" s="28"/>
      <c r="H8" s="28"/>
      <c r="I8" s="28"/>
      <c r="J8" s="28"/>
      <c r="K8" s="28"/>
      <c r="L8" s="28"/>
      <c r="M8" s="28"/>
      <c r="N8" s="28"/>
      <c r="O8" s="28"/>
      <c r="P8" s="28"/>
      <c r="Q8" s="28"/>
      <c r="R8" s="28"/>
    </row>
    <row r="9" spans="1:18" ht="33" customHeight="1" x14ac:dyDescent="0.25">
      <c r="A9" s="29">
        <v>1</v>
      </c>
      <c r="B9" s="30" t="s">
        <v>166</v>
      </c>
      <c r="C9" s="28"/>
      <c r="D9" s="28"/>
      <c r="E9" s="28"/>
      <c r="F9" s="28"/>
      <c r="G9" s="28"/>
      <c r="H9" s="28"/>
      <c r="I9" s="28"/>
      <c r="J9" s="28"/>
      <c r="K9" s="28"/>
      <c r="L9" s="28"/>
      <c r="M9" s="28"/>
      <c r="N9" s="28"/>
      <c r="O9" s="28"/>
      <c r="P9" s="28"/>
      <c r="Q9" s="28"/>
      <c r="R9" s="28"/>
    </row>
    <row r="10" spans="1:18" ht="33" customHeight="1" x14ac:dyDescent="0.25">
      <c r="A10" s="29">
        <v>2</v>
      </c>
      <c r="B10" s="30" t="s">
        <v>167</v>
      </c>
      <c r="C10" s="28"/>
      <c r="D10" s="28"/>
      <c r="E10" s="28"/>
      <c r="F10" s="28"/>
      <c r="G10" s="28"/>
      <c r="H10" s="28"/>
      <c r="I10" s="28"/>
      <c r="J10" s="28"/>
      <c r="K10" s="28"/>
      <c r="L10" s="28"/>
      <c r="M10" s="28"/>
      <c r="N10" s="28"/>
      <c r="O10" s="28"/>
      <c r="P10" s="28"/>
      <c r="Q10" s="28"/>
      <c r="R10" s="28"/>
    </row>
    <row r="11" spans="1:18" ht="33" customHeight="1" x14ac:dyDescent="0.25">
      <c r="A11" s="29">
        <v>3</v>
      </c>
      <c r="B11" s="30" t="s">
        <v>534</v>
      </c>
      <c r="C11" s="28"/>
      <c r="D11" s="28"/>
      <c r="E11" s="28"/>
      <c r="F11" s="28"/>
      <c r="G11" s="28"/>
      <c r="H11" s="28"/>
      <c r="I11" s="28"/>
      <c r="J11" s="28"/>
      <c r="K11" s="28"/>
      <c r="L11" s="28"/>
      <c r="M11" s="28"/>
      <c r="N11" s="28"/>
      <c r="O11" s="28"/>
      <c r="P11" s="28"/>
      <c r="Q11" s="28"/>
      <c r="R11" s="28"/>
    </row>
  </sheetData>
  <mergeCells count="19">
    <mergeCell ref="A2:R2"/>
    <mergeCell ref="A3:R3"/>
    <mergeCell ref="G5:G6"/>
    <mergeCell ref="H5:H6"/>
    <mergeCell ref="I5:I6"/>
    <mergeCell ref="J5:J6"/>
    <mergeCell ref="K5:K6"/>
    <mergeCell ref="L5:L6"/>
    <mergeCell ref="A5:A6"/>
    <mergeCell ref="B5:B6"/>
    <mergeCell ref="C5:C6"/>
    <mergeCell ref="D5:D6"/>
    <mergeCell ref="E5:E6"/>
    <mergeCell ref="F5:F6"/>
    <mergeCell ref="M5:M6"/>
    <mergeCell ref="N5:O5"/>
    <mergeCell ref="P5:P6"/>
    <mergeCell ref="Q5:Q6"/>
    <mergeCell ref="R5:R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0000"/>
  </sheetPr>
  <dimension ref="A1:AF28"/>
  <sheetViews>
    <sheetView zoomScale="75" zoomScaleNormal="75" workbookViewId="0"/>
  </sheetViews>
  <sheetFormatPr defaultRowHeight="15" x14ac:dyDescent="0.25"/>
  <cols>
    <col min="1" max="1" width="6.140625" customWidth="1"/>
    <col min="2" max="2" width="20" customWidth="1"/>
    <col min="4" max="4" width="8.7109375" customWidth="1"/>
  </cols>
  <sheetData>
    <row r="1" spans="1:32" ht="15.75" x14ac:dyDescent="0.25">
      <c r="AF1" s="25" t="s">
        <v>537</v>
      </c>
    </row>
    <row r="2" spans="1:32" ht="18.75" x14ac:dyDescent="0.25">
      <c r="A2" s="451" t="s">
        <v>538</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row>
    <row r="3" spans="1:32" ht="15.75" x14ac:dyDescent="0.25">
      <c r="A3" s="414" t="s">
        <v>458</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row>
    <row r="4" spans="1:32" ht="15.75" x14ac:dyDescent="0.25">
      <c r="AE4" s="26" t="s">
        <v>539</v>
      </c>
    </row>
    <row r="5" spans="1:32" ht="15.75" x14ac:dyDescent="0.25">
      <c r="A5" s="449" t="s">
        <v>3</v>
      </c>
      <c r="B5" s="449" t="s">
        <v>468</v>
      </c>
      <c r="C5" s="449" t="s">
        <v>540</v>
      </c>
      <c r="D5" s="449"/>
      <c r="E5" s="449"/>
      <c r="F5" s="449"/>
      <c r="G5" s="449"/>
      <c r="H5" s="449"/>
      <c r="I5" s="449"/>
      <c r="J5" s="449"/>
      <c r="K5" s="449"/>
      <c r="L5" s="449"/>
      <c r="M5" s="449" t="s">
        <v>541</v>
      </c>
      <c r="N5" s="449"/>
      <c r="O5" s="449"/>
      <c r="P5" s="449"/>
      <c r="Q5" s="449"/>
      <c r="R5" s="449"/>
      <c r="S5" s="449"/>
      <c r="T5" s="449"/>
      <c r="U5" s="449"/>
      <c r="V5" s="449"/>
      <c r="W5" s="449" t="s">
        <v>366</v>
      </c>
      <c r="X5" s="449"/>
      <c r="Y5" s="449"/>
      <c r="Z5" s="449"/>
      <c r="AA5" s="449"/>
      <c r="AB5" s="449"/>
      <c r="AC5" s="449"/>
      <c r="AD5" s="449"/>
      <c r="AE5" s="449"/>
      <c r="AF5" s="449"/>
    </row>
    <row r="6" spans="1:32" ht="23.25" customHeight="1" x14ac:dyDescent="0.25">
      <c r="A6" s="449"/>
      <c r="B6" s="449"/>
      <c r="C6" s="449" t="s">
        <v>130</v>
      </c>
      <c r="D6" s="449" t="s">
        <v>363</v>
      </c>
      <c r="E6" s="449"/>
      <c r="F6" s="449"/>
      <c r="G6" s="449"/>
      <c r="H6" s="449"/>
      <c r="I6" s="449"/>
      <c r="J6" s="449" t="s">
        <v>96</v>
      </c>
      <c r="K6" s="449" t="s">
        <v>162</v>
      </c>
      <c r="L6" s="449"/>
      <c r="M6" s="449" t="s">
        <v>130</v>
      </c>
      <c r="N6" s="449" t="s">
        <v>363</v>
      </c>
      <c r="O6" s="449"/>
      <c r="P6" s="449"/>
      <c r="Q6" s="449"/>
      <c r="R6" s="449"/>
      <c r="S6" s="449"/>
      <c r="T6" s="449" t="s">
        <v>96</v>
      </c>
      <c r="U6" s="449" t="s">
        <v>162</v>
      </c>
      <c r="V6" s="449"/>
      <c r="W6" s="449" t="s">
        <v>130</v>
      </c>
      <c r="X6" s="449" t="s">
        <v>363</v>
      </c>
      <c r="Y6" s="449"/>
      <c r="Z6" s="449"/>
      <c r="AA6" s="449"/>
      <c r="AB6" s="449"/>
      <c r="AC6" s="449"/>
      <c r="AD6" s="449" t="s">
        <v>96</v>
      </c>
      <c r="AE6" s="449" t="s">
        <v>162</v>
      </c>
      <c r="AF6" s="449"/>
    </row>
    <row r="7" spans="1:32" ht="15.75" x14ac:dyDescent="0.25">
      <c r="A7" s="449"/>
      <c r="B7" s="449"/>
      <c r="C7" s="449"/>
      <c r="D7" s="449" t="s">
        <v>130</v>
      </c>
      <c r="E7" s="449" t="s">
        <v>162</v>
      </c>
      <c r="F7" s="449"/>
      <c r="G7" s="449" t="s">
        <v>542</v>
      </c>
      <c r="H7" s="449" t="s">
        <v>543</v>
      </c>
      <c r="I7" s="449" t="s">
        <v>396</v>
      </c>
      <c r="J7" s="449"/>
      <c r="K7" s="449"/>
      <c r="L7" s="449"/>
      <c r="M7" s="449"/>
      <c r="N7" s="449" t="s">
        <v>130</v>
      </c>
      <c r="O7" s="449" t="s">
        <v>162</v>
      </c>
      <c r="P7" s="449"/>
      <c r="Q7" s="449" t="s">
        <v>542</v>
      </c>
      <c r="R7" s="449" t="s">
        <v>543</v>
      </c>
      <c r="S7" s="449" t="s">
        <v>396</v>
      </c>
      <c r="T7" s="449"/>
      <c r="U7" s="449" t="s">
        <v>544</v>
      </c>
      <c r="V7" s="449" t="s">
        <v>421</v>
      </c>
      <c r="W7" s="449"/>
      <c r="X7" s="449" t="s">
        <v>130</v>
      </c>
      <c r="Y7" s="449" t="s">
        <v>162</v>
      </c>
      <c r="Z7" s="449"/>
      <c r="AA7" s="449" t="s">
        <v>542</v>
      </c>
      <c r="AB7" s="449" t="s">
        <v>543</v>
      </c>
      <c r="AC7" s="449" t="s">
        <v>396</v>
      </c>
      <c r="AD7" s="449"/>
      <c r="AE7" s="449"/>
      <c r="AF7" s="449"/>
    </row>
    <row r="8" spans="1:32" ht="121.5" customHeight="1" x14ac:dyDescent="0.25">
      <c r="A8" s="449"/>
      <c r="B8" s="449"/>
      <c r="C8" s="449"/>
      <c r="D8" s="449"/>
      <c r="E8" s="29" t="s">
        <v>544</v>
      </c>
      <c r="F8" s="29" t="s">
        <v>394</v>
      </c>
      <c r="G8" s="449"/>
      <c r="H8" s="449"/>
      <c r="I8" s="449"/>
      <c r="J8" s="449"/>
      <c r="K8" s="29" t="s">
        <v>544</v>
      </c>
      <c r="L8" s="29" t="s">
        <v>421</v>
      </c>
      <c r="M8" s="449"/>
      <c r="N8" s="449"/>
      <c r="O8" s="29" t="s">
        <v>544</v>
      </c>
      <c r="P8" s="29" t="s">
        <v>394</v>
      </c>
      <c r="Q8" s="449"/>
      <c r="R8" s="449"/>
      <c r="S8" s="449"/>
      <c r="T8" s="449"/>
      <c r="U8" s="449"/>
      <c r="V8" s="449"/>
      <c r="W8" s="449"/>
      <c r="X8" s="449"/>
      <c r="Y8" s="29" t="s">
        <v>544</v>
      </c>
      <c r="Z8" s="29" t="s">
        <v>394</v>
      </c>
      <c r="AA8" s="449"/>
      <c r="AB8" s="449"/>
      <c r="AC8" s="449"/>
      <c r="AD8" s="449"/>
      <c r="AE8" s="29" t="s">
        <v>544</v>
      </c>
      <c r="AF8" s="29" t="s">
        <v>394</v>
      </c>
    </row>
    <row r="9" spans="1:32" ht="31.5" x14ac:dyDescent="0.25">
      <c r="A9" s="29" t="s">
        <v>15</v>
      </c>
      <c r="B9" s="29" t="s">
        <v>16</v>
      </c>
      <c r="C9" s="29">
        <v>1</v>
      </c>
      <c r="D9" s="29">
        <v>2</v>
      </c>
      <c r="E9" s="29">
        <v>3</v>
      </c>
      <c r="F9" s="29">
        <v>4</v>
      </c>
      <c r="G9" s="29">
        <v>5</v>
      </c>
      <c r="H9" s="29">
        <v>6</v>
      </c>
      <c r="I9" s="29">
        <v>7</v>
      </c>
      <c r="J9" s="29">
        <v>8</v>
      </c>
      <c r="K9" s="29">
        <v>9</v>
      </c>
      <c r="L9" s="29">
        <v>10</v>
      </c>
      <c r="M9" s="29">
        <v>11</v>
      </c>
      <c r="N9" s="29">
        <v>12</v>
      </c>
      <c r="O9" s="29">
        <v>13</v>
      </c>
      <c r="P9" s="29">
        <v>14</v>
      </c>
      <c r="Q9" s="29">
        <v>15</v>
      </c>
      <c r="R9" s="29">
        <v>16</v>
      </c>
      <c r="S9" s="29">
        <v>17</v>
      </c>
      <c r="T9" s="29">
        <v>18</v>
      </c>
      <c r="U9" s="29">
        <v>19</v>
      </c>
      <c r="V9" s="29">
        <v>20</v>
      </c>
      <c r="W9" s="29" t="s">
        <v>545</v>
      </c>
      <c r="X9" s="29" t="s">
        <v>546</v>
      </c>
      <c r="Y9" s="29" t="s">
        <v>547</v>
      </c>
      <c r="Z9" s="29" t="s">
        <v>548</v>
      </c>
      <c r="AA9" s="29" t="s">
        <v>549</v>
      </c>
      <c r="AB9" s="29" t="s">
        <v>550</v>
      </c>
      <c r="AC9" s="29" t="s">
        <v>551</v>
      </c>
      <c r="AD9" s="29" t="s">
        <v>552</v>
      </c>
      <c r="AE9" s="29" t="s">
        <v>553</v>
      </c>
      <c r="AF9" s="29" t="s">
        <v>554</v>
      </c>
    </row>
    <row r="10" spans="1:32" ht="15.75" x14ac:dyDescent="0.25">
      <c r="A10" s="31"/>
      <c r="B10" s="30" t="s">
        <v>133</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row>
    <row r="11" spans="1:32" ht="15.75" x14ac:dyDescent="0.25">
      <c r="A11" s="28">
        <v>1</v>
      </c>
      <c r="B11" s="31" t="s">
        <v>169</v>
      </c>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row>
    <row r="12" spans="1:32" ht="15.75" x14ac:dyDescent="0.25">
      <c r="A12" s="28">
        <v>2</v>
      </c>
      <c r="B12" s="31" t="s">
        <v>170</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row>
    <row r="13" spans="1:32" ht="15.75" x14ac:dyDescent="0.25">
      <c r="A13" s="28">
        <v>3</v>
      </c>
      <c r="B13" s="31" t="s">
        <v>555</v>
      </c>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row>
    <row r="14" spans="1:32" ht="15.75" x14ac:dyDescent="0.25">
      <c r="A14" s="28">
        <v>4</v>
      </c>
      <c r="B14" s="31" t="s">
        <v>172</v>
      </c>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row>
    <row r="15" spans="1:32" ht="15.75" x14ac:dyDescent="0.25">
      <c r="A15" s="28">
        <v>5</v>
      </c>
      <c r="B15" s="31" t="s">
        <v>556</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row>
    <row r="16" spans="1:32" ht="15.75" x14ac:dyDescent="0.25">
      <c r="A16" s="28">
        <v>6</v>
      </c>
      <c r="B16" s="31" t="s">
        <v>174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row>
    <row r="17" spans="1:32" ht="15.75" x14ac:dyDescent="0.25">
      <c r="A17" s="28">
        <v>7</v>
      </c>
      <c r="B17" s="31" t="s">
        <v>175</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row>
    <row r="18" spans="1:32" ht="15.75" x14ac:dyDescent="0.25">
      <c r="A18" s="28">
        <v>8</v>
      </c>
      <c r="B18" s="31" t="s">
        <v>557</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1:32" ht="15.75" x14ac:dyDescent="0.25">
      <c r="A19" s="28">
        <v>9</v>
      </c>
      <c r="B19" s="31" t="s">
        <v>198</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row>
    <row r="20" spans="1:32" ht="15.75" x14ac:dyDescent="0.25">
      <c r="A20" s="28">
        <v>10</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row>
    <row r="21" spans="1:32" ht="15.75" x14ac:dyDescent="0.25">
      <c r="A21" s="28">
        <v>11</v>
      </c>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row>
    <row r="22" spans="1:32" ht="15.75" x14ac:dyDescent="0.25">
      <c r="A22" s="28">
        <v>12</v>
      </c>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row>
    <row r="23" spans="1:32" ht="15.75" x14ac:dyDescent="0.25">
      <c r="A23" s="28">
        <v>13</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row>
    <row r="24" spans="1:32" ht="15.75" x14ac:dyDescent="0.25">
      <c r="A24" s="28">
        <v>14</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row>
    <row r="25" spans="1:32" ht="15.75" x14ac:dyDescent="0.25">
      <c r="A25" s="28">
        <v>15</v>
      </c>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ht="15.75" x14ac:dyDescent="0.25">
      <c r="A26" s="27" t="s">
        <v>528</v>
      </c>
    </row>
    <row r="27" spans="1:32" ht="15.75" x14ac:dyDescent="0.25">
      <c r="A27" s="33" t="s">
        <v>559</v>
      </c>
    </row>
    <row r="28" spans="1:32" ht="15.75" x14ac:dyDescent="0.25">
      <c r="A28" s="33" t="s">
        <v>558</v>
      </c>
    </row>
  </sheetData>
  <mergeCells count="36">
    <mergeCell ref="C5:L5"/>
    <mergeCell ref="S7:S8"/>
    <mergeCell ref="U7:U8"/>
    <mergeCell ref="U6:V6"/>
    <mergeCell ref="V7:V8"/>
    <mergeCell ref="M5:V5"/>
    <mergeCell ref="N6:S6"/>
    <mergeCell ref="T6:T8"/>
    <mergeCell ref="W6:W8"/>
    <mergeCell ref="X6:AC6"/>
    <mergeCell ref="X7:X8"/>
    <mergeCell ref="AC7:AC8"/>
    <mergeCell ref="C6:C8"/>
    <mergeCell ref="D6:I6"/>
    <mergeCell ref="J6:J8"/>
    <mergeCell ref="K6:L7"/>
    <mergeCell ref="M6:M8"/>
    <mergeCell ref="Y7:Z7"/>
    <mergeCell ref="AA7:AA8"/>
    <mergeCell ref="AB7:AB8"/>
    <mergeCell ref="A2:AF2"/>
    <mergeCell ref="A3:AF3"/>
    <mergeCell ref="AE6:AF7"/>
    <mergeCell ref="D7:D8"/>
    <mergeCell ref="E7:F7"/>
    <mergeCell ref="G7:G8"/>
    <mergeCell ref="H7:H8"/>
    <mergeCell ref="I7:I8"/>
    <mergeCell ref="N7:N8"/>
    <mergeCell ref="O7:P7"/>
    <mergeCell ref="Q7:Q8"/>
    <mergeCell ref="R7:R8"/>
    <mergeCell ref="A5:A8"/>
    <mergeCell ref="B5:B8"/>
    <mergeCell ref="W5:AF5"/>
    <mergeCell ref="AD6:AD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0000"/>
  </sheetPr>
  <dimension ref="A1:L23"/>
  <sheetViews>
    <sheetView workbookViewId="0"/>
  </sheetViews>
  <sheetFormatPr defaultRowHeight="15" x14ac:dyDescent="0.25"/>
  <cols>
    <col min="1" max="1" width="5.7109375" customWidth="1"/>
    <col min="2" max="2" width="17.5703125" customWidth="1"/>
    <col min="3" max="3" width="10.7109375" customWidth="1"/>
    <col min="5" max="5" width="11.85546875" customWidth="1"/>
    <col min="12" max="12" width="10.7109375" customWidth="1"/>
  </cols>
  <sheetData>
    <row r="1" spans="1:12" ht="15.75" x14ac:dyDescent="0.25">
      <c r="L1" s="25" t="s">
        <v>560</v>
      </c>
    </row>
    <row r="2" spans="1:12" ht="39" customHeight="1" x14ac:dyDescent="0.25">
      <c r="A2" s="448" t="s">
        <v>561</v>
      </c>
      <c r="B2" s="448"/>
      <c r="C2" s="448"/>
      <c r="D2" s="448"/>
      <c r="E2" s="448"/>
      <c r="F2" s="448"/>
      <c r="G2" s="448"/>
      <c r="H2" s="448"/>
      <c r="I2" s="448"/>
      <c r="J2" s="448"/>
      <c r="K2" s="448"/>
      <c r="L2" s="448"/>
    </row>
    <row r="3" spans="1:12" ht="15.75" x14ac:dyDescent="0.25">
      <c r="A3" s="414" t="s">
        <v>126</v>
      </c>
      <c r="B3" s="414"/>
      <c r="C3" s="414"/>
      <c r="D3" s="414"/>
      <c r="E3" s="414"/>
      <c r="F3" s="414"/>
      <c r="G3" s="414"/>
      <c r="H3" s="414"/>
      <c r="I3" s="414"/>
      <c r="J3" s="414"/>
      <c r="K3" s="414"/>
      <c r="L3" s="414"/>
    </row>
    <row r="4" spans="1:12" ht="15.75" x14ac:dyDescent="0.25">
      <c r="L4" s="26" t="s">
        <v>56</v>
      </c>
    </row>
    <row r="5" spans="1:12" ht="30" customHeight="1" x14ac:dyDescent="0.25">
      <c r="A5" s="449" t="s">
        <v>3</v>
      </c>
      <c r="B5" s="449" t="s">
        <v>562</v>
      </c>
      <c r="C5" s="449" t="s">
        <v>563</v>
      </c>
      <c r="D5" s="449" t="s">
        <v>564</v>
      </c>
      <c r="E5" s="449"/>
      <c r="F5" s="449"/>
      <c r="G5" s="449"/>
      <c r="H5" s="449" t="s">
        <v>357</v>
      </c>
      <c r="I5" s="449"/>
      <c r="J5" s="449"/>
      <c r="K5" s="449"/>
      <c r="L5" s="449" t="s">
        <v>565</v>
      </c>
    </row>
    <row r="6" spans="1:12" ht="47.25" customHeight="1" x14ac:dyDescent="0.25">
      <c r="A6" s="449"/>
      <c r="B6" s="449"/>
      <c r="C6" s="449"/>
      <c r="D6" s="449" t="s">
        <v>566</v>
      </c>
      <c r="E6" s="449"/>
      <c r="F6" s="449" t="s">
        <v>567</v>
      </c>
      <c r="G6" s="449" t="s">
        <v>568</v>
      </c>
      <c r="H6" s="449" t="s">
        <v>566</v>
      </c>
      <c r="I6" s="449"/>
      <c r="J6" s="449" t="s">
        <v>567</v>
      </c>
      <c r="K6" s="449" t="s">
        <v>568</v>
      </c>
      <c r="L6" s="449"/>
    </row>
    <row r="7" spans="1:12" ht="78.75" x14ac:dyDescent="0.25">
      <c r="A7" s="449"/>
      <c r="B7" s="449"/>
      <c r="C7" s="449"/>
      <c r="D7" s="29" t="s">
        <v>130</v>
      </c>
      <c r="E7" s="29" t="s">
        <v>569</v>
      </c>
      <c r="F7" s="449"/>
      <c r="G7" s="449"/>
      <c r="H7" s="29" t="s">
        <v>130</v>
      </c>
      <c r="I7" s="29" t="s">
        <v>569</v>
      </c>
      <c r="J7" s="449"/>
      <c r="K7" s="449"/>
      <c r="L7" s="449"/>
    </row>
    <row r="8" spans="1:12" s="39" customFormat="1" ht="12.75" x14ac:dyDescent="0.2">
      <c r="A8" s="38" t="s">
        <v>15</v>
      </c>
      <c r="B8" s="38" t="s">
        <v>16</v>
      </c>
      <c r="C8" s="38">
        <v>1</v>
      </c>
      <c r="D8" s="38">
        <v>2</v>
      </c>
      <c r="E8" s="38">
        <v>3</v>
      </c>
      <c r="F8" s="38">
        <v>4</v>
      </c>
      <c r="G8" s="38" t="s">
        <v>570</v>
      </c>
      <c r="H8" s="38">
        <v>6</v>
      </c>
      <c r="I8" s="38">
        <v>7</v>
      </c>
      <c r="J8" s="38">
        <v>8</v>
      </c>
      <c r="K8" s="38" t="s">
        <v>571</v>
      </c>
      <c r="L8" s="38" t="s">
        <v>572</v>
      </c>
    </row>
    <row r="9" spans="1:12" ht="15.75" x14ac:dyDescent="0.25">
      <c r="A9" s="28">
        <v>1</v>
      </c>
      <c r="B9" s="31" t="s">
        <v>573</v>
      </c>
      <c r="C9" s="31"/>
      <c r="D9" s="31"/>
      <c r="E9" s="31"/>
      <c r="F9" s="31"/>
      <c r="G9" s="31"/>
      <c r="H9" s="31"/>
      <c r="I9" s="31"/>
      <c r="J9" s="31"/>
      <c r="K9" s="31"/>
      <c r="L9" s="31"/>
    </row>
    <row r="10" spans="1:12" ht="15.75" x14ac:dyDescent="0.25">
      <c r="A10" s="28">
        <v>2</v>
      </c>
      <c r="B10" s="31" t="s">
        <v>574</v>
      </c>
      <c r="C10" s="31"/>
      <c r="D10" s="31"/>
      <c r="E10" s="31"/>
      <c r="F10" s="31"/>
      <c r="G10" s="31"/>
      <c r="H10" s="31"/>
      <c r="I10" s="31"/>
      <c r="J10" s="31"/>
      <c r="K10" s="31"/>
      <c r="L10" s="31"/>
    </row>
    <row r="11" spans="1:12" ht="15.75" x14ac:dyDescent="0.25">
      <c r="A11" s="28">
        <v>3</v>
      </c>
      <c r="B11" s="31" t="s">
        <v>575</v>
      </c>
      <c r="C11" s="31"/>
      <c r="D11" s="31"/>
      <c r="E11" s="31"/>
      <c r="F11" s="31"/>
      <c r="G11" s="31"/>
      <c r="H11" s="31"/>
      <c r="I11" s="31"/>
      <c r="J11" s="31"/>
      <c r="K11" s="31"/>
      <c r="L11" s="31"/>
    </row>
    <row r="12" spans="1:12" ht="15.75" x14ac:dyDescent="0.25">
      <c r="A12" s="28">
        <v>4</v>
      </c>
      <c r="B12" s="31" t="s">
        <v>478</v>
      </c>
      <c r="C12" s="31"/>
      <c r="D12" s="31"/>
      <c r="E12" s="31"/>
      <c r="F12" s="31"/>
      <c r="G12" s="31"/>
      <c r="H12" s="31"/>
      <c r="I12" s="31"/>
      <c r="J12" s="31"/>
      <c r="K12" s="31"/>
      <c r="L12" s="31"/>
    </row>
    <row r="13" spans="1:12" ht="15.75" x14ac:dyDescent="0.25">
      <c r="A13" s="28">
        <v>5</v>
      </c>
      <c r="B13" s="37"/>
      <c r="C13" s="31"/>
      <c r="D13" s="31"/>
      <c r="E13" s="31"/>
      <c r="F13" s="31"/>
      <c r="G13" s="31"/>
      <c r="H13" s="31"/>
      <c r="I13" s="31"/>
      <c r="J13" s="31"/>
      <c r="K13" s="31"/>
      <c r="L13" s="31"/>
    </row>
    <row r="14" spans="1:12" ht="15.75" x14ac:dyDescent="0.25">
      <c r="A14" s="28">
        <v>6</v>
      </c>
      <c r="B14" s="37"/>
      <c r="C14" s="31"/>
      <c r="D14" s="31"/>
      <c r="E14" s="31"/>
      <c r="F14" s="31"/>
      <c r="G14" s="31"/>
      <c r="H14" s="31"/>
      <c r="I14" s="31"/>
      <c r="J14" s="31"/>
      <c r="K14" s="31"/>
      <c r="L14" s="31"/>
    </row>
    <row r="15" spans="1:12" ht="15.75" x14ac:dyDescent="0.25">
      <c r="A15" s="28">
        <v>7</v>
      </c>
      <c r="B15" s="37"/>
      <c r="C15" s="31"/>
      <c r="D15" s="31"/>
      <c r="E15" s="31"/>
      <c r="F15" s="31"/>
      <c r="G15" s="31"/>
      <c r="H15" s="31"/>
      <c r="I15" s="31"/>
      <c r="J15" s="31"/>
      <c r="K15" s="31"/>
      <c r="L15" s="31"/>
    </row>
    <row r="16" spans="1:12" ht="15.75" x14ac:dyDescent="0.25">
      <c r="A16" s="28">
        <v>8</v>
      </c>
      <c r="B16" s="37"/>
      <c r="C16" s="31"/>
      <c r="D16" s="31"/>
      <c r="E16" s="31"/>
      <c r="F16" s="31"/>
      <c r="G16" s="31"/>
      <c r="H16" s="31"/>
      <c r="I16" s="31"/>
      <c r="J16" s="31"/>
      <c r="K16" s="31"/>
      <c r="L16" s="31"/>
    </row>
    <row r="17" spans="1:12" ht="15.75" x14ac:dyDescent="0.25">
      <c r="A17" s="28">
        <v>9</v>
      </c>
      <c r="B17" s="37"/>
      <c r="C17" s="31"/>
      <c r="D17" s="31"/>
      <c r="E17" s="31"/>
      <c r="F17" s="31"/>
      <c r="G17" s="31"/>
      <c r="H17" s="31"/>
      <c r="I17" s="31"/>
      <c r="J17" s="31"/>
      <c r="K17" s="31"/>
      <c r="L17" s="31"/>
    </row>
    <row r="18" spans="1:12" ht="15.75" x14ac:dyDescent="0.25">
      <c r="A18" s="28">
        <v>10</v>
      </c>
      <c r="B18" s="37"/>
      <c r="C18" s="31"/>
      <c r="D18" s="31"/>
      <c r="E18" s="31"/>
      <c r="F18" s="31"/>
      <c r="G18" s="31"/>
      <c r="H18" s="31"/>
      <c r="I18" s="31"/>
      <c r="J18" s="31"/>
      <c r="K18" s="31"/>
      <c r="L18" s="31"/>
    </row>
    <row r="19" spans="1:12" ht="15.75" x14ac:dyDescent="0.25">
      <c r="A19" s="28">
        <v>11</v>
      </c>
      <c r="B19" s="37"/>
      <c r="C19" s="31"/>
      <c r="D19" s="31"/>
      <c r="E19" s="31"/>
      <c r="F19" s="31"/>
      <c r="G19" s="31"/>
      <c r="H19" s="31"/>
      <c r="I19" s="31"/>
      <c r="J19" s="31"/>
      <c r="K19" s="31"/>
      <c r="L19" s="31"/>
    </row>
    <row r="20" spans="1:12" ht="15.75" x14ac:dyDescent="0.25">
      <c r="A20" s="28">
        <v>12</v>
      </c>
      <c r="B20" s="37"/>
      <c r="C20" s="31"/>
      <c r="D20" s="31"/>
      <c r="E20" s="31"/>
      <c r="F20" s="31"/>
      <c r="G20" s="31"/>
      <c r="H20" s="31"/>
      <c r="I20" s="31"/>
      <c r="J20" s="31"/>
      <c r="K20" s="31"/>
      <c r="L20" s="31"/>
    </row>
    <row r="21" spans="1:12" ht="15.75" x14ac:dyDescent="0.25">
      <c r="A21" s="28">
        <v>13</v>
      </c>
      <c r="B21" s="37"/>
      <c r="C21" s="31"/>
      <c r="D21" s="31"/>
      <c r="E21" s="31"/>
      <c r="F21" s="31"/>
      <c r="G21" s="31"/>
      <c r="H21" s="31"/>
      <c r="I21" s="31"/>
      <c r="J21" s="31"/>
      <c r="K21" s="31"/>
      <c r="L21" s="31"/>
    </row>
    <row r="22" spans="1:12" ht="15.75" x14ac:dyDescent="0.25">
      <c r="A22" s="28">
        <v>14</v>
      </c>
      <c r="B22" s="37"/>
      <c r="C22" s="31"/>
      <c r="D22" s="31"/>
      <c r="E22" s="31"/>
      <c r="F22" s="31"/>
      <c r="G22" s="31"/>
      <c r="H22" s="31"/>
      <c r="I22" s="31"/>
      <c r="J22" s="31"/>
      <c r="K22" s="31"/>
      <c r="L22" s="31"/>
    </row>
    <row r="23" spans="1:12" ht="15.75" x14ac:dyDescent="0.25">
      <c r="A23" s="28">
        <v>15</v>
      </c>
      <c r="B23" s="37"/>
      <c r="C23" s="31"/>
      <c r="D23" s="31"/>
      <c r="E23" s="31"/>
      <c r="F23" s="31"/>
      <c r="G23" s="31"/>
      <c r="H23" s="31"/>
      <c r="I23" s="31"/>
      <c r="J23" s="31"/>
      <c r="K23" s="31"/>
      <c r="L23" s="31"/>
    </row>
  </sheetData>
  <mergeCells count="14">
    <mergeCell ref="A2:L2"/>
    <mergeCell ref="A3:L3"/>
    <mergeCell ref="J6:J7"/>
    <mergeCell ref="K6:K7"/>
    <mergeCell ref="A5:A7"/>
    <mergeCell ref="B5:B7"/>
    <mergeCell ref="C5:C7"/>
    <mergeCell ref="D5:G5"/>
    <mergeCell ref="H5:K5"/>
    <mergeCell ref="L5:L7"/>
    <mergeCell ref="D6:E6"/>
    <mergeCell ref="F6:F7"/>
    <mergeCell ref="G6:G7"/>
    <mergeCell ref="H6:I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0000"/>
  </sheetPr>
  <dimension ref="A1:E20"/>
  <sheetViews>
    <sheetView workbookViewId="0"/>
  </sheetViews>
  <sheetFormatPr defaultRowHeight="15" x14ac:dyDescent="0.25"/>
  <cols>
    <col min="1" max="1" width="6.5703125" customWidth="1"/>
    <col min="2" max="2" width="44.7109375" customWidth="1"/>
    <col min="3" max="5" width="12.7109375" customWidth="1"/>
  </cols>
  <sheetData>
    <row r="1" spans="1:5" ht="15.75" x14ac:dyDescent="0.25">
      <c r="E1" s="25" t="s">
        <v>576</v>
      </c>
    </row>
    <row r="2" spans="1:5" ht="25.5" customHeight="1" x14ac:dyDescent="0.25">
      <c r="A2" s="448" t="s">
        <v>577</v>
      </c>
      <c r="B2" s="448"/>
      <c r="C2" s="448"/>
      <c r="D2" s="448"/>
      <c r="E2" s="448"/>
    </row>
    <row r="3" spans="1:5" ht="15.75" x14ac:dyDescent="0.25">
      <c r="A3" s="448" t="s">
        <v>578</v>
      </c>
      <c r="B3" s="448"/>
      <c r="C3" s="448"/>
      <c r="D3" s="448"/>
      <c r="E3" s="448"/>
    </row>
    <row r="4" spans="1:5" ht="15.75" x14ac:dyDescent="0.25">
      <c r="A4" s="414" t="s">
        <v>126</v>
      </c>
      <c r="B4" s="414"/>
      <c r="C4" s="414"/>
      <c r="D4" s="414"/>
      <c r="E4" s="414"/>
    </row>
    <row r="5" spans="1:5" ht="15.75" x14ac:dyDescent="0.25">
      <c r="E5" s="26" t="s">
        <v>56</v>
      </c>
    </row>
    <row r="6" spans="1:5" ht="31.5" x14ac:dyDescent="0.25">
      <c r="A6" s="29" t="s">
        <v>3</v>
      </c>
      <c r="B6" s="29" t="s">
        <v>4</v>
      </c>
      <c r="C6" s="29" t="s">
        <v>564</v>
      </c>
      <c r="D6" s="29" t="s">
        <v>357</v>
      </c>
      <c r="E6" s="29" t="s">
        <v>366</v>
      </c>
    </row>
    <row r="7" spans="1:5" ht="15.75" x14ac:dyDescent="0.25">
      <c r="A7" s="29" t="s">
        <v>15</v>
      </c>
      <c r="B7" s="29" t="s">
        <v>16</v>
      </c>
      <c r="C7" s="29">
        <v>1</v>
      </c>
      <c r="D7" s="29">
        <v>2</v>
      </c>
      <c r="E7" s="29" t="s">
        <v>269</v>
      </c>
    </row>
    <row r="8" spans="1:5" ht="19.5" customHeight="1" x14ac:dyDescent="0.25">
      <c r="A8" s="29"/>
      <c r="B8" s="30" t="s">
        <v>133</v>
      </c>
      <c r="C8" s="28"/>
      <c r="D8" s="28"/>
      <c r="E8" s="28"/>
    </row>
    <row r="9" spans="1:5" ht="19.5" customHeight="1" x14ac:dyDescent="0.25">
      <c r="A9" s="28">
        <v>1</v>
      </c>
      <c r="B9" s="31" t="s">
        <v>579</v>
      </c>
      <c r="C9" s="28"/>
      <c r="D9" s="28"/>
      <c r="E9" s="28"/>
    </row>
    <row r="10" spans="1:5" ht="19.5" customHeight="1" x14ac:dyDescent="0.25">
      <c r="A10" s="28" t="s">
        <v>22</v>
      </c>
      <c r="B10" s="32" t="s">
        <v>580</v>
      </c>
      <c r="C10" s="28"/>
      <c r="D10" s="28"/>
      <c r="E10" s="28"/>
    </row>
    <row r="11" spans="1:5" ht="19.5" customHeight="1" x14ac:dyDescent="0.25">
      <c r="A11" s="28" t="s">
        <v>22</v>
      </c>
      <c r="B11" s="32" t="s">
        <v>581</v>
      </c>
      <c r="C11" s="28"/>
      <c r="D11" s="28"/>
      <c r="E11" s="28"/>
    </row>
    <row r="12" spans="1:5" ht="19.5" customHeight="1" x14ac:dyDescent="0.25">
      <c r="A12" s="28">
        <v>2</v>
      </c>
      <c r="B12" s="31" t="s">
        <v>582</v>
      </c>
      <c r="C12" s="28"/>
      <c r="D12" s="28"/>
      <c r="E12" s="28"/>
    </row>
    <row r="13" spans="1:5" ht="19.5" customHeight="1" x14ac:dyDescent="0.25">
      <c r="A13" s="28">
        <v>3</v>
      </c>
      <c r="B13" s="31" t="s">
        <v>583</v>
      </c>
      <c r="C13" s="28"/>
      <c r="D13" s="28"/>
      <c r="E13" s="28"/>
    </row>
    <row r="14" spans="1:5" ht="19.5" customHeight="1" x14ac:dyDescent="0.25">
      <c r="A14" s="28">
        <v>4</v>
      </c>
      <c r="B14" s="31" t="s">
        <v>584</v>
      </c>
      <c r="C14" s="28"/>
      <c r="D14" s="28"/>
      <c r="E14" s="28"/>
    </row>
    <row r="15" spans="1:5" ht="19.5" customHeight="1" x14ac:dyDescent="0.25">
      <c r="A15" s="28">
        <v>5</v>
      </c>
      <c r="B15" s="31" t="s">
        <v>585</v>
      </c>
      <c r="C15" s="28"/>
      <c r="D15" s="28"/>
      <c r="E15" s="28"/>
    </row>
    <row r="16" spans="1:5" ht="19.5" customHeight="1" x14ac:dyDescent="0.25">
      <c r="A16" s="28">
        <v>6</v>
      </c>
      <c r="B16" s="31" t="s">
        <v>586</v>
      </c>
      <c r="C16" s="28"/>
      <c r="D16" s="28"/>
      <c r="E16" s="28"/>
    </row>
    <row r="17" spans="1:5" ht="19.5" customHeight="1" x14ac:dyDescent="0.25">
      <c r="A17" s="28">
        <v>7</v>
      </c>
      <c r="B17" s="31" t="s">
        <v>587</v>
      </c>
      <c r="C17" s="28"/>
      <c r="D17" s="28"/>
      <c r="E17" s="28"/>
    </row>
    <row r="18" spans="1:5" ht="19.5" customHeight="1" x14ac:dyDescent="0.25">
      <c r="A18" s="28">
        <v>8</v>
      </c>
      <c r="B18" s="31"/>
      <c r="C18" s="28"/>
      <c r="D18" s="28"/>
      <c r="E18" s="28"/>
    </row>
    <row r="19" spans="1:5" ht="19.5" customHeight="1" x14ac:dyDescent="0.25">
      <c r="A19" s="28">
        <v>9</v>
      </c>
      <c r="B19" s="31"/>
      <c r="C19" s="28"/>
      <c r="D19" s="28"/>
      <c r="E19" s="28"/>
    </row>
    <row r="20" spans="1:5" ht="19.5" customHeight="1" x14ac:dyDescent="0.25">
      <c r="A20" s="28">
        <v>10</v>
      </c>
      <c r="B20" s="31"/>
      <c r="C20" s="28"/>
      <c r="D20" s="28"/>
      <c r="E20" s="28"/>
    </row>
  </sheetData>
  <mergeCells count="3">
    <mergeCell ref="A2:E2"/>
    <mergeCell ref="A3:E3"/>
    <mergeCell ref="A4:E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0000"/>
  </sheetPr>
  <dimension ref="A1:G41"/>
  <sheetViews>
    <sheetView workbookViewId="0">
      <selection activeCell="F14" sqref="F14"/>
    </sheetView>
  </sheetViews>
  <sheetFormatPr defaultRowHeight="15" x14ac:dyDescent="0.25"/>
  <cols>
    <col min="1" max="1" width="5.85546875" customWidth="1"/>
    <col min="2" max="2" width="41.28515625" customWidth="1"/>
  </cols>
  <sheetData>
    <row r="1" spans="1:7" ht="15.75" x14ac:dyDescent="0.25">
      <c r="G1" s="25" t="s">
        <v>588</v>
      </c>
    </row>
    <row r="2" spans="1:7" ht="32.25" customHeight="1" x14ac:dyDescent="0.25">
      <c r="A2" s="448" t="s">
        <v>589</v>
      </c>
      <c r="B2" s="448"/>
      <c r="C2" s="448"/>
      <c r="D2" s="448"/>
      <c r="E2" s="448"/>
      <c r="F2" s="448"/>
      <c r="G2" s="448"/>
    </row>
    <row r="3" spans="1:7" ht="15.75" x14ac:dyDescent="0.25">
      <c r="A3" s="414" t="s">
        <v>458</v>
      </c>
      <c r="B3" s="414"/>
      <c r="C3" s="414"/>
      <c r="D3" s="414"/>
      <c r="E3" s="414"/>
      <c r="F3" s="414"/>
      <c r="G3" s="414"/>
    </row>
    <row r="4" spans="1:7" ht="15.75" x14ac:dyDescent="0.25">
      <c r="G4" s="26" t="s">
        <v>56</v>
      </c>
    </row>
    <row r="5" spans="1:7" ht="21.75" customHeight="1" x14ac:dyDescent="0.25">
      <c r="A5" s="449" t="s">
        <v>3</v>
      </c>
      <c r="B5" s="449" t="s">
        <v>4</v>
      </c>
      <c r="C5" s="449" t="s">
        <v>933</v>
      </c>
      <c r="D5" s="449" t="s">
        <v>934</v>
      </c>
      <c r="E5" s="449" t="s">
        <v>935</v>
      </c>
      <c r="F5" s="449" t="s">
        <v>405</v>
      </c>
      <c r="G5" s="449"/>
    </row>
    <row r="6" spans="1:7" ht="92.25" customHeight="1" x14ac:dyDescent="0.25">
      <c r="A6" s="449"/>
      <c r="B6" s="449"/>
      <c r="C6" s="449"/>
      <c r="D6" s="449"/>
      <c r="E6" s="449"/>
      <c r="F6" s="29" t="s">
        <v>233</v>
      </c>
      <c r="G6" s="29" t="s">
        <v>389</v>
      </c>
    </row>
    <row r="7" spans="1:7" ht="15.75" x14ac:dyDescent="0.25">
      <c r="A7" s="29" t="s">
        <v>15</v>
      </c>
      <c r="B7" s="29" t="s">
        <v>16</v>
      </c>
      <c r="C7" s="29">
        <v>1</v>
      </c>
      <c r="D7" s="29">
        <v>2</v>
      </c>
      <c r="E7" s="29">
        <v>3</v>
      </c>
      <c r="F7" s="29">
        <v>4</v>
      </c>
      <c r="G7" s="29">
        <v>5</v>
      </c>
    </row>
    <row r="8" spans="1:7" ht="15.75" x14ac:dyDescent="0.25">
      <c r="A8" s="29" t="s">
        <v>15</v>
      </c>
      <c r="B8" s="30" t="s">
        <v>459</v>
      </c>
      <c r="C8" s="31"/>
      <c r="D8" s="31"/>
      <c r="E8" s="31"/>
      <c r="F8" s="31"/>
      <c r="G8" s="31"/>
    </row>
    <row r="9" spans="1:7" ht="15.75" x14ac:dyDescent="0.25">
      <c r="A9" s="29" t="s">
        <v>83</v>
      </c>
      <c r="B9" s="30" t="s">
        <v>590</v>
      </c>
      <c r="C9" s="31"/>
      <c r="D9" s="31"/>
      <c r="E9" s="31"/>
      <c r="F9" s="31"/>
      <c r="G9" s="31"/>
    </row>
    <row r="10" spans="1:7" ht="15.75" x14ac:dyDescent="0.25">
      <c r="A10" s="28">
        <v>1</v>
      </c>
      <c r="B10" s="31" t="s">
        <v>301</v>
      </c>
      <c r="C10" s="31"/>
      <c r="D10" s="31"/>
      <c r="E10" s="31"/>
      <c r="F10" s="31"/>
      <c r="G10" s="31"/>
    </row>
    <row r="11" spans="1:7" ht="15.75" x14ac:dyDescent="0.25">
      <c r="A11" s="28">
        <v>2</v>
      </c>
      <c r="B11" s="31" t="s">
        <v>302</v>
      </c>
      <c r="C11" s="31"/>
      <c r="D11" s="31"/>
      <c r="E11" s="31"/>
      <c r="F11" s="31"/>
      <c r="G11" s="31"/>
    </row>
    <row r="12" spans="1:7" ht="15.75" x14ac:dyDescent="0.25">
      <c r="A12" s="28" t="s">
        <v>22</v>
      </c>
      <c r="B12" s="31" t="s">
        <v>240</v>
      </c>
      <c r="C12" s="31"/>
      <c r="D12" s="31"/>
      <c r="E12" s="31"/>
      <c r="F12" s="31"/>
      <c r="G12" s="31"/>
    </row>
    <row r="13" spans="1:7" ht="15.75" x14ac:dyDescent="0.25">
      <c r="A13" s="28" t="s">
        <v>22</v>
      </c>
      <c r="B13" s="31" t="s">
        <v>88</v>
      </c>
      <c r="C13" s="31"/>
      <c r="D13" s="31"/>
      <c r="E13" s="31"/>
      <c r="F13" s="31"/>
      <c r="G13" s="31"/>
    </row>
    <row r="14" spans="1:7" ht="15.75" x14ac:dyDescent="0.25">
      <c r="A14" s="28">
        <v>3</v>
      </c>
      <c r="B14" s="31" t="s">
        <v>460</v>
      </c>
      <c r="C14" s="31"/>
      <c r="D14" s="31"/>
      <c r="E14" s="31"/>
      <c r="F14" s="31"/>
      <c r="G14" s="31"/>
    </row>
    <row r="15" spans="1:7" ht="15.75" x14ac:dyDescent="0.25">
      <c r="A15" s="28">
        <v>4</v>
      </c>
      <c r="B15" s="31" t="s">
        <v>303</v>
      </c>
      <c r="C15" s="31"/>
      <c r="D15" s="31"/>
      <c r="E15" s="31"/>
      <c r="F15" s="31"/>
      <c r="G15" s="31"/>
    </row>
    <row r="16" spans="1:7" ht="15.75" x14ac:dyDescent="0.25">
      <c r="A16" s="28">
        <v>5</v>
      </c>
      <c r="B16" s="31" t="s">
        <v>243</v>
      </c>
      <c r="C16" s="31"/>
      <c r="D16" s="31"/>
      <c r="E16" s="31"/>
      <c r="F16" s="31"/>
      <c r="G16" s="31"/>
    </row>
    <row r="17" spans="1:7" ht="15.75" x14ac:dyDescent="0.25">
      <c r="A17" s="29" t="s">
        <v>70</v>
      </c>
      <c r="B17" s="30" t="s">
        <v>304</v>
      </c>
      <c r="C17" s="31"/>
      <c r="D17" s="31"/>
      <c r="E17" s="31"/>
      <c r="F17" s="31"/>
      <c r="G17" s="31"/>
    </row>
    <row r="18" spans="1:7" ht="31.5" x14ac:dyDescent="0.25">
      <c r="A18" s="28">
        <v>1</v>
      </c>
      <c r="B18" s="31" t="s">
        <v>461</v>
      </c>
      <c r="C18" s="31"/>
      <c r="D18" s="31"/>
      <c r="E18" s="31"/>
      <c r="F18" s="31"/>
      <c r="G18" s="31"/>
    </row>
    <row r="19" spans="1:7" ht="15.75" x14ac:dyDescent="0.25">
      <c r="A19" s="28">
        <v>2</v>
      </c>
      <c r="B19" s="31" t="s">
        <v>313</v>
      </c>
      <c r="C19" s="31"/>
      <c r="D19" s="31"/>
      <c r="E19" s="31"/>
      <c r="F19" s="31"/>
      <c r="G19" s="31"/>
    </row>
    <row r="20" spans="1:7" ht="15.75" x14ac:dyDescent="0.25">
      <c r="A20" s="28" t="s">
        <v>22</v>
      </c>
      <c r="B20" s="31" t="s">
        <v>307</v>
      </c>
      <c r="C20" s="31"/>
      <c r="D20" s="31"/>
      <c r="E20" s="31"/>
      <c r="F20" s="31"/>
      <c r="G20" s="31"/>
    </row>
    <row r="21" spans="1:7" ht="15.75" x14ac:dyDescent="0.25">
      <c r="A21" s="28" t="s">
        <v>22</v>
      </c>
      <c r="B21" s="31" t="s">
        <v>308</v>
      </c>
      <c r="C21" s="31"/>
      <c r="D21" s="31"/>
      <c r="E21" s="31"/>
      <c r="F21" s="31"/>
      <c r="G21" s="31"/>
    </row>
    <row r="22" spans="1:7" ht="15.75" x14ac:dyDescent="0.25">
      <c r="A22" s="28">
        <v>3</v>
      </c>
      <c r="B22" s="31" t="s">
        <v>251</v>
      </c>
      <c r="C22" s="31"/>
      <c r="D22" s="31"/>
      <c r="E22" s="31"/>
      <c r="F22" s="31"/>
      <c r="G22" s="31"/>
    </row>
    <row r="23" spans="1:7" ht="15.75" x14ac:dyDescent="0.25">
      <c r="A23" s="29" t="s">
        <v>73</v>
      </c>
      <c r="B23" s="30" t="s">
        <v>591</v>
      </c>
      <c r="C23" s="31"/>
      <c r="D23" s="31"/>
      <c r="E23" s="31"/>
      <c r="F23" s="31"/>
      <c r="G23" s="31"/>
    </row>
    <row r="24" spans="1:7" ht="15.75" x14ac:dyDescent="0.25">
      <c r="A24" s="29" t="s">
        <v>16</v>
      </c>
      <c r="B24" s="30" t="s">
        <v>462</v>
      </c>
      <c r="C24" s="31"/>
      <c r="D24" s="31"/>
      <c r="E24" s="31"/>
      <c r="F24" s="31"/>
      <c r="G24" s="31"/>
    </row>
    <row r="25" spans="1:7" ht="15.75" x14ac:dyDescent="0.25">
      <c r="A25" s="29" t="s">
        <v>83</v>
      </c>
      <c r="B25" s="30" t="s">
        <v>590</v>
      </c>
      <c r="C25" s="31"/>
      <c r="D25" s="31"/>
      <c r="E25" s="31"/>
      <c r="F25" s="31"/>
      <c r="G25" s="31"/>
    </row>
    <row r="26" spans="1:7" ht="15.75" x14ac:dyDescent="0.25">
      <c r="A26" s="28">
        <v>1</v>
      </c>
      <c r="B26" s="31" t="s">
        <v>301</v>
      </c>
      <c r="C26" s="31"/>
      <c r="D26" s="31"/>
      <c r="E26" s="31"/>
      <c r="F26" s="31"/>
      <c r="G26" s="31"/>
    </row>
    <row r="27" spans="1:7" ht="15.75" x14ac:dyDescent="0.25">
      <c r="A27" s="28">
        <v>2</v>
      </c>
      <c r="B27" s="31" t="s">
        <v>302</v>
      </c>
      <c r="C27" s="31"/>
      <c r="D27" s="31"/>
      <c r="E27" s="31"/>
      <c r="F27" s="31"/>
      <c r="G27" s="31"/>
    </row>
    <row r="28" spans="1:7" ht="15.75" x14ac:dyDescent="0.25">
      <c r="A28" s="28" t="s">
        <v>22</v>
      </c>
      <c r="B28" s="31" t="s">
        <v>240</v>
      </c>
      <c r="C28" s="31"/>
      <c r="D28" s="31"/>
      <c r="E28" s="31"/>
      <c r="F28" s="31"/>
      <c r="G28" s="31"/>
    </row>
    <row r="29" spans="1:7" ht="15.75" x14ac:dyDescent="0.25">
      <c r="A29" s="28" t="s">
        <v>22</v>
      </c>
      <c r="B29" s="31" t="s">
        <v>88</v>
      </c>
      <c r="C29" s="31"/>
      <c r="D29" s="31"/>
      <c r="E29" s="31"/>
      <c r="F29" s="31"/>
      <c r="G29" s="31"/>
    </row>
    <row r="30" spans="1:7" ht="15.75" x14ac:dyDescent="0.25">
      <c r="A30" s="28">
        <v>3</v>
      </c>
      <c r="B30" s="31" t="s">
        <v>303</v>
      </c>
      <c r="C30" s="31"/>
      <c r="D30" s="31"/>
      <c r="E30" s="31"/>
      <c r="F30" s="31"/>
      <c r="G30" s="31"/>
    </row>
    <row r="31" spans="1:7" ht="15.75" x14ac:dyDescent="0.25">
      <c r="A31" s="28">
        <v>4</v>
      </c>
      <c r="B31" s="31" t="s">
        <v>243</v>
      </c>
      <c r="C31" s="31"/>
      <c r="D31" s="31"/>
      <c r="E31" s="31"/>
      <c r="F31" s="31"/>
      <c r="G31" s="31"/>
    </row>
    <row r="32" spans="1:7" ht="15.75" x14ac:dyDescent="0.25">
      <c r="A32" s="29" t="s">
        <v>70</v>
      </c>
      <c r="B32" s="30" t="s">
        <v>592</v>
      </c>
      <c r="C32" s="31"/>
      <c r="D32" s="31"/>
      <c r="E32" s="31"/>
      <c r="F32" s="31"/>
      <c r="G32" s="31"/>
    </row>
    <row r="33" spans="1:7" ht="31.5" x14ac:dyDescent="0.25">
      <c r="A33" s="28">
        <v>1</v>
      </c>
      <c r="B33" s="31" t="s">
        <v>463</v>
      </c>
      <c r="C33" s="31"/>
      <c r="D33" s="31"/>
      <c r="E33" s="31"/>
      <c r="F33" s="31"/>
      <c r="G33" s="31"/>
    </row>
    <row r="34" spans="1:7" ht="15.75" x14ac:dyDescent="0.25">
      <c r="A34" s="28">
        <v>2</v>
      </c>
      <c r="B34" s="31" t="s">
        <v>593</v>
      </c>
      <c r="C34" s="31"/>
      <c r="D34" s="31"/>
      <c r="E34" s="31"/>
      <c r="F34" s="31"/>
      <c r="G34" s="31"/>
    </row>
    <row r="35" spans="1:7" ht="15.75" x14ac:dyDescent="0.25">
      <c r="A35" s="28" t="s">
        <v>22</v>
      </c>
      <c r="B35" s="31" t="s">
        <v>307</v>
      </c>
      <c r="C35" s="31"/>
      <c r="D35" s="31"/>
      <c r="E35" s="31"/>
      <c r="F35" s="31"/>
      <c r="G35" s="31"/>
    </row>
    <row r="36" spans="1:7" ht="15.75" x14ac:dyDescent="0.25">
      <c r="A36" s="28" t="s">
        <v>22</v>
      </c>
      <c r="B36" s="31" t="s">
        <v>308</v>
      </c>
      <c r="C36" s="31"/>
      <c r="D36" s="31"/>
      <c r="E36" s="31"/>
      <c r="F36" s="31"/>
      <c r="G36" s="31"/>
    </row>
    <row r="37" spans="1:7" ht="15.75" x14ac:dyDescent="0.25">
      <c r="A37" s="28">
        <v>3</v>
      </c>
      <c r="B37" s="31" t="s">
        <v>251</v>
      </c>
      <c r="C37" s="31"/>
      <c r="D37" s="31"/>
      <c r="E37" s="31"/>
      <c r="F37" s="31"/>
      <c r="G37" s="31"/>
    </row>
    <row r="38" spans="1:7" ht="24" customHeight="1" x14ac:dyDescent="0.25">
      <c r="A38" s="27" t="s">
        <v>595</v>
      </c>
    </row>
    <row r="39" spans="1:7" ht="34.5" customHeight="1" x14ac:dyDescent="0.25">
      <c r="A39" s="447" t="s">
        <v>596</v>
      </c>
      <c r="B39" s="447"/>
      <c r="C39" s="447"/>
      <c r="D39" s="447"/>
      <c r="E39" s="447"/>
      <c r="F39" s="447"/>
      <c r="G39" s="447"/>
    </row>
    <row r="40" spans="1:7" ht="21" customHeight="1" x14ac:dyDescent="0.25">
      <c r="A40" s="447" t="s">
        <v>594</v>
      </c>
      <c r="B40" s="447"/>
      <c r="C40" s="447"/>
      <c r="D40" s="447"/>
      <c r="E40" s="447"/>
      <c r="F40" s="447"/>
      <c r="G40" s="447"/>
    </row>
    <row r="41" spans="1:7" ht="40.5" customHeight="1" x14ac:dyDescent="0.25">
      <c r="A41" s="447" t="s">
        <v>409</v>
      </c>
      <c r="B41" s="447"/>
      <c r="C41" s="447"/>
      <c r="D41" s="447"/>
      <c r="E41" s="447"/>
      <c r="F41" s="447"/>
      <c r="G41" s="447"/>
    </row>
  </sheetData>
  <mergeCells count="11">
    <mergeCell ref="A39:G39"/>
    <mergeCell ref="A40:G40"/>
    <mergeCell ref="A41:G41"/>
    <mergeCell ref="A2:G2"/>
    <mergeCell ref="A3:G3"/>
    <mergeCell ref="A5:A6"/>
    <mergeCell ref="B5:B6"/>
    <mergeCell ref="C5:C6"/>
    <mergeCell ref="D5:D6"/>
    <mergeCell ref="E5:E6"/>
    <mergeCell ref="F5:G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sheetPr>
  <dimension ref="A1:N23"/>
  <sheetViews>
    <sheetView workbookViewId="0"/>
  </sheetViews>
  <sheetFormatPr defaultRowHeight="15" x14ac:dyDescent="0.25"/>
  <cols>
    <col min="1" max="1" width="6.28515625" customWidth="1"/>
    <col min="2" max="2" width="24.42578125" customWidth="1"/>
  </cols>
  <sheetData>
    <row r="1" spans="1:14" ht="15.75" x14ac:dyDescent="0.25">
      <c r="N1" s="25" t="s">
        <v>597</v>
      </c>
    </row>
    <row r="2" spans="1:14" ht="15.75" x14ac:dyDescent="0.25">
      <c r="A2" s="448" t="s">
        <v>598</v>
      </c>
      <c r="B2" s="448"/>
      <c r="C2" s="448"/>
      <c r="D2" s="448"/>
      <c r="E2" s="448"/>
      <c r="F2" s="448"/>
      <c r="G2" s="448"/>
      <c r="H2" s="448"/>
      <c r="I2" s="448"/>
      <c r="J2" s="448"/>
      <c r="K2" s="448"/>
      <c r="L2" s="448"/>
      <c r="M2" s="448"/>
      <c r="N2" s="448"/>
    </row>
    <row r="3" spans="1:14" ht="15.75" x14ac:dyDescent="0.25">
      <c r="A3" s="448" t="s">
        <v>458</v>
      </c>
      <c r="B3" s="448"/>
      <c r="C3" s="448"/>
      <c r="D3" s="448"/>
      <c r="E3" s="448"/>
      <c r="F3" s="448"/>
      <c r="G3" s="448"/>
      <c r="H3" s="448"/>
      <c r="I3" s="448"/>
      <c r="J3" s="448"/>
      <c r="K3" s="448"/>
      <c r="L3" s="448"/>
      <c r="M3" s="448"/>
      <c r="N3" s="448"/>
    </row>
    <row r="4" spans="1:14" ht="15.75" x14ac:dyDescent="0.25">
      <c r="N4" s="26" t="s">
        <v>56</v>
      </c>
    </row>
    <row r="5" spans="1:14" ht="15.75" x14ac:dyDescent="0.25">
      <c r="A5" s="449" t="s">
        <v>3</v>
      </c>
      <c r="B5" s="449" t="s">
        <v>468</v>
      </c>
      <c r="C5" s="449" t="s">
        <v>357</v>
      </c>
      <c r="D5" s="449"/>
      <c r="E5" s="449"/>
      <c r="F5" s="449"/>
      <c r="G5" s="449" t="s">
        <v>356</v>
      </c>
      <c r="H5" s="449"/>
      <c r="I5" s="449"/>
      <c r="J5" s="449"/>
      <c r="K5" s="449" t="s">
        <v>366</v>
      </c>
      <c r="L5" s="449"/>
      <c r="M5" s="449"/>
      <c r="N5" s="449"/>
    </row>
    <row r="6" spans="1:14" ht="15.75" x14ac:dyDescent="0.25">
      <c r="A6" s="449"/>
      <c r="B6" s="449"/>
      <c r="C6" s="449" t="s">
        <v>130</v>
      </c>
      <c r="D6" s="449" t="s">
        <v>469</v>
      </c>
      <c r="E6" s="449"/>
      <c r="F6" s="449"/>
      <c r="G6" s="449" t="s">
        <v>130</v>
      </c>
      <c r="H6" s="449" t="s">
        <v>469</v>
      </c>
      <c r="I6" s="449"/>
      <c r="J6" s="449"/>
      <c r="K6" s="449" t="s">
        <v>130</v>
      </c>
      <c r="L6" s="449" t="s">
        <v>469</v>
      </c>
      <c r="M6" s="449"/>
      <c r="N6" s="449"/>
    </row>
    <row r="7" spans="1:14" ht="63" x14ac:dyDescent="0.25">
      <c r="A7" s="449"/>
      <c r="B7" s="449"/>
      <c r="C7" s="449"/>
      <c r="D7" s="29" t="s">
        <v>65</v>
      </c>
      <c r="E7" s="29" t="s">
        <v>285</v>
      </c>
      <c r="F7" s="29" t="s">
        <v>471</v>
      </c>
      <c r="G7" s="449"/>
      <c r="H7" s="29" t="s">
        <v>65</v>
      </c>
      <c r="I7" s="29" t="s">
        <v>285</v>
      </c>
      <c r="J7" s="29" t="s">
        <v>471</v>
      </c>
      <c r="K7" s="449"/>
      <c r="L7" s="29" t="s">
        <v>65</v>
      </c>
      <c r="M7" s="29" t="s">
        <v>285</v>
      </c>
      <c r="N7" s="29" t="s">
        <v>471</v>
      </c>
    </row>
    <row r="8" spans="1:14" ht="15.75" x14ac:dyDescent="0.25">
      <c r="A8" s="29" t="s">
        <v>15</v>
      </c>
      <c r="B8" s="29" t="s">
        <v>16</v>
      </c>
      <c r="C8" s="29">
        <v>1</v>
      </c>
      <c r="D8" s="29">
        <v>1</v>
      </c>
      <c r="E8" s="29">
        <v>3</v>
      </c>
      <c r="F8" s="29">
        <v>4</v>
      </c>
      <c r="G8" s="29">
        <v>5</v>
      </c>
      <c r="H8" s="29">
        <v>6</v>
      </c>
      <c r="I8" s="29">
        <v>7</v>
      </c>
      <c r="J8" s="29">
        <v>8</v>
      </c>
      <c r="K8" s="29" t="s">
        <v>473</v>
      </c>
      <c r="L8" s="29" t="s">
        <v>474</v>
      </c>
      <c r="M8" s="29" t="s">
        <v>475</v>
      </c>
      <c r="N8" s="29" t="s">
        <v>476</v>
      </c>
    </row>
    <row r="9" spans="1:14" ht="15.75" x14ac:dyDescent="0.25">
      <c r="A9" s="28"/>
      <c r="B9" s="30" t="s">
        <v>599</v>
      </c>
      <c r="C9" s="31"/>
      <c r="D9" s="31"/>
      <c r="E9" s="31"/>
      <c r="F9" s="31"/>
      <c r="G9" s="31"/>
      <c r="H9" s="31"/>
      <c r="I9" s="31"/>
      <c r="J9" s="31"/>
      <c r="K9" s="31"/>
      <c r="L9" s="31"/>
      <c r="M9" s="31"/>
      <c r="N9" s="31"/>
    </row>
    <row r="10" spans="1:14" ht="20.25" customHeight="1" x14ac:dyDescent="0.25">
      <c r="A10" s="28">
        <v>1</v>
      </c>
      <c r="B10" s="31" t="s">
        <v>169</v>
      </c>
      <c r="C10" s="31"/>
      <c r="D10" s="31"/>
      <c r="E10" s="31"/>
      <c r="F10" s="31"/>
      <c r="G10" s="31"/>
      <c r="H10" s="31"/>
      <c r="I10" s="31"/>
      <c r="J10" s="31"/>
      <c r="K10" s="31"/>
      <c r="L10" s="31"/>
      <c r="M10" s="31"/>
      <c r="N10" s="31"/>
    </row>
    <row r="11" spans="1:14" ht="20.25" customHeight="1" x14ac:dyDescent="0.25">
      <c r="A11" s="28">
        <v>2</v>
      </c>
      <c r="B11" s="31" t="s">
        <v>170</v>
      </c>
      <c r="C11" s="31"/>
      <c r="D11" s="31"/>
      <c r="E11" s="31"/>
      <c r="F11" s="31"/>
      <c r="G11" s="31"/>
      <c r="H11" s="31"/>
      <c r="I11" s="31"/>
      <c r="J11" s="31"/>
      <c r="K11" s="31"/>
      <c r="L11" s="31"/>
      <c r="M11" s="31"/>
      <c r="N11" s="31"/>
    </row>
    <row r="12" spans="1:14" ht="20.25" customHeight="1" x14ac:dyDescent="0.25">
      <c r="A12" s="28">
        <v>3</v>
      </c>
      <c r="B12" s="31" t="s">
        <v>555</v>
      </c>
      <c r="C12" s="31"/>
      <c r="D12" s="31"/>
      <c r="E12" s="31"/>
      <c r="F12" s="31"/>
      <c r="G12" s="31"/>
      <c r="H12" s="31"/>
      <c r="I12" s="31"/>
      <c r="J12" s="31"/>
      <c r="K12" s="31"/>
      <c r="L12" s="31"/>
      <c r="M12" s="31"/>
      <c r="N12" s="31"/>
    </row>
    <row r="13" spans="1:14" ht="20.25" customHeight="1" x14ac:dyDescent="0.25">
      <c r="A13" s="28">
        <v>4</v>
      </c>
      <c r="B13" s="31" t="s">
        <v>172</v>
      </c>
      <c r="C13" s="31"/>
      <c r="D13" s="31"/>
      <c r="E13" s="31"/>
      <c r="F13" s="31"/>
      <c r="G13" s="31"/>
      <c r="H13" s="31"/>
      <c r="I13" s="31"/>
      <c r="J13" s="31"/>
      <c r="K13" s="31"/>
      <c r="L13" s="31"/>
      <c r="M13" s="31"/>
      <c r="N13" s="31"/>
    </row>
    <row r="14" spans="1:14" ht="20.25" customHeight="1" x14ac:dyDescent="0.25">
      <c r="A14" s="28">
        <v>5</v>
      </c>
      <c r="B14" s="31" t="s">
        <v>600</v>
      </c>
      <c r="C14" s="31"/>
      <c r="D14" s="31"/>
      <c r="E14" s="31"/>
      <c r="F14" s="31"/>
      <c r="G14" s="31"/>
      <c r="H14" s="31"/>
      <c r="I14" s="31"/>
      <c r="J14" s="31"/>
      <c r="K14" s="31"/>
      <c r="L14" s="31"/>
      <c r="M14" s="31"/>
      <c r="N14" s="31"/>
    </row>
    <row r="15" spans="1:14" ht="20.25" customHeight="1" x14ac:dyDescent="0.25">
      <c r="A15" s="28">
        <v>6</v>
      </c>
      <c r="B15" s="31" t="s">
        <v>174</v>
      </c>
      <c r="C15" s="31"/>
      <c r="D15" s="31"/>
      <c r="E15" s="31"/>
      <c r="F15" s="31"/>
      <c r="G15" s="31"/>
      <c r="H15" s="31"/>
      <c r="I15" s="31"/>
      <c r="J15" s="31"/>
      <c r="K15" s="31"/>
      <c r="L15" s="31"/>
      <c r="M15" s="31"/>
      <c r="N15" s="31"/>
    </row>
    <row r="16" spans="1:14" ht="20.25" customHeight="1" x14ac:dyDescent="0.25">
      <c r="A16" s="28">
        <v>7</v>
      </c>
      <c r="B16" s="31" t="s">
        <v>175</v>
      </c>
      <c r="C16" s="31"/>
      <c r="D16" s="31"/>
      <c r="E16" s="31"/>
      <c r="F16" s="31"/>
      <c r="G16" s="31"/>
      <c r="H16" s="31"/>
      <c r="I16" s="31"/>
      <c r="J16" s="31"/>
      <c r="K16" s="31"/>
      <c r="L16" s="31"/>
      <c r="M16" s="31"/>
      <c r="N16" s="31"/>
    </row>
    <row r="17" spans="1:14" ht="20.25" customHeight="1" x14ac:dyDescent="0.25">
      <c r="A17" s="28">
        <v>8</v>
      </c>
      <c r="B17" s="31" t="s">
        <v>557</v>
      </c>
      <c r="C17" s="31"/>
      <c r="D17" s="31"/>
      <c r="E17" s="31"/>
      <c r="F17" s="31"/>
      <c r="G17" s="31"/>
      <c r="H17" s="31"/>
      <c r="I17" s="31"/>
      <c r="J17" s="31"/>
      <c r="K17" s="31"/>
      <c r="L17" s="31"/>
      <c r="M17" s="31"/>
      <c r="N17" s="31"/>
    </row>
    <row r="18" spans="1:14" ht="20.25" customHeight="1" x14ac:dyDescent="0.25">
      <c r="A18" s="28">
        <v>9</v>
      </c>
      <c r="B18" s="31" t="s">
        <v>534</v>
      </c>
      <c r="C18" s="31"/>
      <c r="D18" s="31"/>
      <c r="E18" s="31"/>
      <c r="F18" s="31"/>
      <c r="G18" s="31"/>
      <c r="H18" s="31"/>
      <c r="I18" s="31"/>
      <c r="J18" s="31"/>
      <c r="K18" s="31"/>
      <c r="L18" s="31"/>
      <c r="M18" s="31"/>
      <c r="N18" s="31"/>
    </row>
    <row r="19" spans="1:14" ht="20.25" customHeight="1" x14ac:dyDescent="0.25">
      <c r="A19" s="28">
        <v>10</v>
      </c>
      <c r="B19" s="37"/>
      <c r="C19" s="31"/>
      <c r="D19" s="31"/>
      <c r="E19" s="31"/>
      <c r="F19" s="31"/>
      <c r="G19" s="31"/>
      <c r="H19" s="31"/>
      <c r="I19" s="31"/>
      <c r="J19" s="31"/>
      <c r="K19" s="31"/>
      <c r="L19" s="31"/>
      <c r="M19" s="31"/>
      <c r="N19" s="31"/>
    </row>
    <row r="20" spans="1:14" ht="20.25" customHeight="1" x14ac:dyDescent="0.25">
      <c r="A20" s="28">
        <v>11</v>
      </c>
      <c r="B20" s="37"/>
      <c r="C20" s="31"/>
      <c r="D20" s="31"/>
      <c r="E20" s="31"/>
      <c r="F20" s="31"/>
      <c r="G20" s="31"/>
      <c r="H20" s="31"/>
      <c r="I20" s="31"/>
      <c r="J20" s="31"/>
      <c r="K20" s="31"/>
      <c r="L20" s="31"/>
      <c r="M20" s="31"/>
      <c r="N20" s="31"/>
    </row>
    <row r="21" spans="1:14" ht="15.75" x14ac:dyDescent="0.25">
      <c r="A21" s="27" t="s">
        <v>528</v>
      </c>
    </row>
    <row r="22" spans="1:14" ht="15.75" x14ac:dyDescent="0.25">
      <c r="A22" s="33" t="s">
        <v>601</v>
      </c>
    </row>
    <row r="23" spans="1:14" ht="15.75" x14ac:dyDescent="0.25">
      <c r="A23" s="33" t="s">
        <v>479</v>
      </c>
    </row>
  </sheetData>
  <mergeCells count="13">
    <mergeCell ref="A2:N2"/>
    <mergeCell ref="A3:N3"/>
    <mergeCell ref="L6:N6"/>
    <mergeCell ref="A5:A7"/>
    <mergeCell ref="B5:B7"/>
    <mergeCell ref="C5:F5"/>
    <mergeCell ref="G5:J5"/>
    <mergeCell ref="K5:N5"/>
    <mergeCell ref="C6:C7"/>
    <mergeCell ref="D6:F6"/>
    <mergeCell ref="G6:G7"/>
    <mergeCell ref="H6:J6"/>
    <mergeCell ref="K6:K7"/>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249977111117893"/>
  </sheetPr>
  <dimension ref="A1:J68"/>
  <sheetViews>
    <sheetView workbookViewId="0">
      <selection activeCell="E33" sqref="E33"/>
    </sheetView>
  </sheetViews>
  <sheetFormatPr defaultColWidth="9.140625" defaultRowHeight="15" x14ac:dyDescent="0.25"/>
  <cols>
    <col min="1" max="1" width="5.7109375" style="1" customWidth="1"/>
    <col min="2" max="2" width="45.42578125" style="1" customWidth="1"/>
    <col min="3" max="9" width="9.140625" style="1"/>
    <col min="10" max="10" width="12.140625" style="1" customWidth="1"/>
    <col min="11" max="16384" width="9.140625" style="1"/>
  </cols>
  <sheetData>
    <row r="1" spans="1:10" x14ac:dyDescent="0.25">
      <c r="A1" s="422" t="s">
        <v>53</v>
      </c>
      <c r="B1" s="422"/>
      <c r="C1" s="422"/>
      <c r="D1" s="422"/>
      <c r="E1" s="422"/>
      <c r="F1" s="422"/>
      <c r="G1" s="422"/>
      <c r="H1" s="422"/>
      <c r="I1" s="422"/>
      <c r="J1" s="422"/>
    </row>
    <row r="2" spans="1:10" ht="18.75" x14ac:dyDescent="0.25">
      <c r="A2" s="417" t="s">
        <v>54</v>
      </c>
      <c r="B2" s="417"/>
      <c r="C2" s="417"/>
      <c r="D2" s="417"/>
      <c r="E2" s="417"/>
      <c r="F2" s="417"/>
      <c r="G2" s="417"/>
      <c r="H2" s="417"/>
      <c r="I2" s="417"/>
      <c r="J2" s="417"/>
    </row>
    <row r="3" spans="1:10" x14ac:dyDescent="0.25">
      <c r="A3" s="423" t="s">
        <v>55</v>
      </c>
      <c r="B3" s="423"/>
      <c r="C3" s="423"/>
      <c r="D3" s="423"/>
      <c r="E3" s="423"/>
      <c r="F3" s="423"/>
      <c r="G3" s="423"/>
      <c r="H3" s="423"/>
      <c r="I3" s="423"/>
      <c r="J3" s="423"/>
    </row>
    <row r="4" spans="1:10" x14ac:dyDescent="0.25">
      <c r="I4" s="424" t="s">
        <v>56</v>
      </c>
      <c r="J4" s="424"/>
    </row>
    <row r="5" spans="1:10" x14ac:dyDescent="0.25">
      <c r="A5" s="421" t="s">
        <v>3</v>
      </c>
      <c r="B5" s="421" t="s">
        <v>4</v>
      </c>
      <c r="C5" s="421" t="s">
        <v>57</v>
      </c>
      <c r="D5" s="421" t="s">
        <v>7</v>
      </c>
      <c r="E5" s="421"/>
      <c r="F5" s="421"/>
      <c r="G5" s="421"/>
      <c r="H5" s="421"/>
      <c r="I5" s="421"/>
      <c r="J5" s="421" t="s">
        <v>120</v>
      </c>
    </row>
    <row r="6" spans="1:10" ht="42.75" x14ac:dyDescent="0.25">
      <c r="A6" s="421"/>
      <c r="B6" s="421"/>
      <c r="C6" s="421"/>
      <c r="D6" s="2" t="s">
        <v>9</v>
      </c>
      <c r="E6" s="2" t="s">
        <v>58</v>
      </c>
      <c r="F6" s="2" t="s">
        <v>59</v>
      </c>
      <c r="G6" s="2" t="s">
        <v>60</v>
      </c>
      <c r="H6" s="2" t="s">
        <v>13</v>
      </c>
      <c r="I6" s="2" t="s">
        <v>14</v>
      </c>
      <c r="J6" s="421"/>
    </row>
    <row r="7" spans="1:10" x14ac:dyDescent="0.25">
      <c r="A7" s="2" t="s">
        <v>15</v>
      </c>
      <c r="B7" s="2" t="s">
        <v>16</v>
      </c>
      <c r="C7" s="2">
        <v>1</v>
      </c>
      <c r="D7" s="2">
        <v>2</v>
      </c>
      <c r="E7" s="2">
        <v>3</v>
      </c>
      <c r="F7" s="2">
        <v>4</v>
      </c>
      <c r="G7" s="2">
        <v>5</v>
      </c>
      <c r="H7" s="2">
        <v>6</v>
      </c>
      <c r="I7" s="2">
        <v>7</v>
      </c>
      <c r="J7" s="2">
        <v>8</v>
      </c>
    </row>
    <row r="8" spans="1:10" ht="28.5" x14ac:dyDescent="0.25">
      <c r="A8" s="2" t="s">
        <v>15</v>
      </c>
      <c r="B8" s="14" t="s">
        <v>61</v>
      </c>
      <c r="C8" s="3"/>
      <c r="D8" s="3"/>
      <c r="E8" s="3"/>
      <c r="F8" s="3"/>
      <c r="G8" s="3"/>
      <c r="H8" s="3"/>
      <c r="I8" s="3"/>
      <c r="J8" s="3"/>
    </row>
    <row r="9" spans="1:10" x14ac:dyDescent="0.25">
      <c r="A9" s="2" t="s">
        <v>16</v>
      </c>
      <c r="B9" s="14" t="s">
        <v>62</v>
      </c>
      <c r="C9" s="3"/>
      <c r="D9" s="3"/>
      <c r="E9" s="3"/>
      <c r="F9" s="3"/>
      <c r="G9" s="3"/>
      <c r="H9" s="3"/>
      <c r="I9" s="3"/>
      <c r="J9" s="3"/>
    </row>
    <row r="10" spans="1:10" x14ac:dyDescent="0.25">
      <c r="A10" s="3"/>
      <c r="B10" s="5" t="s">
        <v>121</v>
      </c>
      <c r="C10" s="3"/>
      <c r="D10" s="3"/>
      <c r="E10" s="3"/>
      <c r="F10" s="3"/>
      <c r="G10" s="3"/>
      <c r="H10" s="3"/>
      <c r="I10" s="3"/>
      <c r="J10" s="3"/>
    </row>
    <row r="11" spans="1:10" x14ac:dyDescent="0.25">
      <c r="A11" s="3"/>
      <c r="B11" s="5" t="s">
        <v>63</v>
      </c>
      <c r="C11" s="3"/>
      <c r="D11" s="3"/>
      <c r="E11" s="3"/>
      <c r="F11" s="3"/>
      <c r="G11" s="3"/>
      <c r="H11" s="3"/>
      <c r="I11" s="3"/>
      <c r="J11" s="3"/>
    </row>
    <row r="12" spans="1:10" x14ac:dyDescent="0.25">
      <c r="A12" s="3"/>
      <c r="B12" s="5" t="s">
        <v>64</v>
      </c>
      <c r="C12" s="3"/>
      <c r="D12" s="3"/>
      <c r="E12" s="3"/>
      <c r="F12" s="3"/>
      <c r="G12" s="3"/>
      <c r="H12" s="3"/>
      <c r="I12" s="3"/>
      <c r="J12" s="3"/>
    </row>
    <row r="13" spans="1:10" x14ac:dyDescent="0.25">
      <c r="A13" s="3">
        <v>1</v>
      </c>
      <c r="B13" s="4" t="s">
        <v>65</v>
      </c>
      <c r="C13" s="3"/>
      <c r="D13" s="3"/>
      <c r="E13" s="3"/>
      <c r="F13" s="3"/>
      <c r="G13" s="3"/>
      <c r="H13" s="3"/>
      <c r="I13" s="3"/>
      <c r="J13" s="3"/>
    </row>
    <row r="14" spans="1:10" x14ac:dyDescent="0.25">
      <c r="A14" s="3"/>
      <c r="B14" s="5" t="s">
        <v>66</v>
      </c>
      <c r="C14" s="3"/>
      <c r="D14" s="3"/>
      <c r="E14" s="3"/>
      <c r="F14" s="3"/>
      <c r="G14" s="3"/>
      <c r="H14" s="3"/>
      <c r="I14" s="3"/>
      <c r="J14" s="3"/>
    </row>
    <row r="15" spans="1:10" x14ac:dyDescent="0.25">
      <c r="A15" s="3"/>
      <c r="B15" s="5" t="s">
        <v>67</v>
      </c>
      <c r="C15" s="3"/>
      <c r="D15" s="3"/>
      <c r="E15" s="3"/>
      <c r="F15" s="3"/>
      <c r="G15" s="3"/>
      <c r="H15" s="3"/>
      <c r="I15" s="3"/>
      <c r="J15" s="3"/>
    </row>
    <row r="16" spans="1:10" x14ac:dyDescent="0.25">
      <c r="A16" s="3"/>
      <c r="B16" s="5" t="s">
        <v>68</v>
      </c>
      <c r="C16" s="3"/>
      <c r="D16" s="3"/>
      <c r="E16" s="3"/>
      <c r="F16" s="3"/>
      <c r="G16" s="3"/>
      <c r="H16" s="3"/>
      <c r="I16" s="3"/>
      <c r="J16" s="3"/>
    </row>
    <row r="17" spans="1:10" x14ac:dyDescent="0.25">
      <c r="A17" s="3"/>
      <c r="B17" s="5" t="s">
        <v>69</v>
      </c>
      <c r="C17" s="3"/>
      <c r="D17" s="3"/>
      <c r="E17" s="3"/>
      <c r="F17" s="3"/>
      <c r="G17" s="3"/>
      <c r="H17" s="3"/>
      <c r="I17" s="3"/>
      <c r="J17" s="3"/>
    </row>
    <row r="18" spans="1:10" x14ac:dyDescent="0.25">
      <c r="A18" s="2" t="s">
        <v>70</v>
      </c>
      <c r="B18" s="14" t="s">
        <v>71</v>
      </c>
      <c r="C18" s="3"/>
      <c r="D18" s="3"/>
      <c r="E18" s="3"/>
      <c r="F18" s="3"/>
      <c r="G18" s="3"/>
      <c r="H18" s="3"/>
      <c r="I18" s="3"/>
      <c r="J18" s="3"/>
    </row>
    <row r="19" spans="1:10" x14ac:dyDescent="0.25">
      <c r="A19" s="3"/>
      <c r="B19" s="5" t="s">
        <v>72</v>
      </c>
      <c r="C19" s="3"/>
      <c r="D19" s="3"/>
      <c r="E19" s="3"/>
      <c r="F19" s="3"/>
      <c r="G19" s="3"/>
      <c r="H19" s="3"/>
      <c r="I19" s="3"/>
      <c r="J19" s="3"/>
    </row>
    <row r="20" spans="1:10" x14ac:dyDescent="0.25">
      <c r="A20" s="3"/>
      <c r="B20" s="5" t="s">
        <v>122</v>
      </c>
      <c r="C20" s="3"/>
      <c r="D20" s="3"/>
      <c r="E20" s="3"/>
      <c r="F20" s="3"/>
      <c r="G20" s="3"/>
      <c r="H20" s="3"/>
      <c r="I20" s="3"/>
      <c r="J20" s="3"/>
    </row>
    <row r="21" spans="1:10" x14ac:dyDescent="0.25">
      <c r="A21" s="2" t="s">
        <v>73</v>
      </c>
      <c r="B21" s="14" t="s">
        <v>74</v>
      </c>
      <c r="C21" s="3"/>
      <c r="D21" s="3"/>
      <c r="E21" s="3"/>
      <c r="F21" s="3"/>
      <c r="G21" s="3"/>
      <c r="H21" s="3"/>
      <c r="I21" s="3"/>
      <c r="J21" s="3"/>
    </row>
    <row r="22" spans="1:10" x14ac:dyDescent="0.25">
      <c r="A22" s="3"/>
      <c r="B22" s="5" t="s">
        <v>75</v>
      </c>
      <c r="C22" s="3"/>
      <c r="D22" s="3"/>
      <c r="E22" s="3"/>
      <c r="F22" s="3"/>
      <c r="G22" s="3"/>
      <c r="H22" s="3"/>
      <c r="I22" s="3"/>
      <c r="J22" s="3"/>
    </row>
    <row r="23" spans="1:10" x14ac:dyDescent="0.25">
      <c r="A23" s="3"/>
      <c r="B23" s="5" t="s">
        <v>76</v>
      </c>
      <c r="C23" s="3"/>
      <c r="D23" s="3"/>
      <c r="E23" s="3"/>
      <c r="F23" s="3"/>
      <c r="G23" s="3"/>
      <c r="H23" s="3"/>
      <c r="I23" s="3"/>
      <c r="J23" s="3"/>
    </row>
    <row r="24" spans="1:10" x14ac:dyDescent="0.25">
      <c r="A24" s="2" t="s">
        <v>77</v>
      </c>
      <c r="B24" s="14" t="s">
        <v>78</v>
      </c>
      <c r="C24" s="3"/>
      <c r="D24" s="3"/>
      <c r="E24" s="3"/>
      <c r="F24" s="3"/>
      <c r="G24" s="3"/>
      <c r="H24" s="3"/>
      <c r="I24" s="3"/>
      <c r="J24" s="3"/>
    </row>
    <row r="25" spans="1:10" x14ac:dyDescent="0.25">
      <c r="A25" s="3"/>
      <c r="B25" s="5" t="s">
        <v>75</v>
      </c>
      <c r="C25" s="3"/>
      <c r="D25" s="3"/>
      <c r="E25" s="3"/>
      <c r="F25" s="3"/>
      <c r="G25" s="3"/>
      <c r="H25" s="3"/>
      <c r="I25" s="3"/>
      <c r="J25" s="3"/>
    </row>
    <row r="26" spans="1:10" x14ac:dyDescent="0.25">
      <c r="A26" s="3"/>
      <c r="B26" s="5" t="s">
        <v>76</v>
      </c>
      <c r="C26" s="3"/>
      <c r="D26" s="3"/>
      <c r="E26" s="3"/>
      <c r="F26" s="3"/>
      <c r="G26" s="3"/>
      <c r="H26" s="3"/>
      <c r="I26" s="3"/>
      <c r="J26" s="3"/>
    </row>
    <row r="27" spans="1:10" x14ac:dyDescent="0.25">
      <c r="A27" s="2" t="s">
        <v>79</v>
      </c>
      <c r="B27" s="14" t="s">
        <v>80</v>
      </c>
      <c r="C27" s="3"/>
      <c r="D27" s="3"/>
      <c r="E27" s="3"/>
      <c r="F27" s="3"/>
      <c r="G27" s="3"/>
      <c r="H27" s="3"/>
      <c r="I27" s="3"/>
      <c r="J27" s="3"/>
    </row>
    <row r="28" spans="1:10" x14ac:dyDescent="0.25">
      <c r="A28" s="3"/>
      <c r="B28" s="5" t="s">
        <v>81</v>
      </c>
      <c r="C28" s="3"/>
      <c r="D28" s="3"/>
      <c r="E28" s="3"/>
      <c r="F28" s="3"/>
      <c r="G28" s="3"/>
      <c r="H28" s="3"/>
      <c r="I28" s="3"/>
      <c r="J28" s="3"/>
    </row>
    <row r="29" spans="1:10" x14ac:dyDescent="0.25">
      <c r="A29" s="3"/>
      <c r="B29" s="5" t="s">
        <v>82</v>
      </c>
      <c r="C29" s="3"/>
      <c r="D29" s="3"/>
      <c r="E29" s="3"/>
      <c r="F29" s="3"/>
      <c r="G29" s="3"/>
      <c r="H29" s="3"/>
      <c r="I29" s="3"/>
      <c r="J29" s="3"/>
    </row>
    <row r="30" spans="1:10" x14ac:dyDescent="0.25">
      <c r="A30" s="2" t="s">
        <v>83</v>
      </c>
      <c r="B30" s="14" t="s">
        <v>84</v>
      </c>
      <c r="C30" s="3"/>
      <c r="D30" s="3"/>
      <c r="E30" s="3"/>
      <c r="F30" s="3"/>
      <c r="G30" s="3"/>
      <c r="H30" s="3"/>
      <c r="I30" s="3"/>
      <c r="J30" s="3"/>
    </row>
    <row r="31" spans="1:10" x14ac:dyDescent="0.25">
      <c r="A31" s="3"/>
      <c r="B31" s="5" t="s">
        <v>85</v>
      </c>
      <c r="C31" s="3"/>
      <c r="D31" s="3"/>
      <c r="E31" s="3"/>
      <c r="F31" s="3"/>
      <c r="G31" s="3"/>
      <c r="H31" s="3"/>
      <c r="I31" s="3"/>
      <c r="J31" s="3"/>
    </row>
    <row r="32" spans="1:10" x14ac:dyDescent="0.25">
      <c r="A32" s="3"/>
      <c r="B32" s="5" t="s">
        <v>86</v>
      </c>
      <c r="C32" s="3"/>
      <c r="D32" s="3"/>
      <c r="E32" s="3"/>
      <c r="F32" s="3"/>
      <c r="G32" s="3"/>
      <c r="H32" s="3"/>
      <c r="I32" s="3"/>
      <c r="J32" s="3"/>
    </row>
    <row r="33" spans="1:10" x14ac:dyDescent="0.25">
      <c r="A33" s="2" t="s">
        <v>70</v>
      </c>
      <c r="B33" s="14" t="s">
        <v>123</v>
      </c>
      <c r="C33" s="3"/>
      <c r="D33" s="3"/>
      <c r="E33" s="3"/>
      <c r="F33" s="3"/>
      <c r="G33" s="3"/>
      <c r="H33" s="3"/>
      <c r="I33" s="3"/>
      <c r="J33" s="3"/>
    </row>
    <row r="34" spans="1:10" x14ac:dyDescent="0.25">
      <c r="A34" s="3"/>
      <c r="B34" s="5" t="s">
        <v>85</v>
      </c>
      <c r="C34" s="3"/>
      <c r="D34" s="3"/>
      <c r="E34" s="3"/>
      <c r="F34" s="3"/>
      <c r="G34" s="3"/>
      <c r="H34" s="3"/>
      <c r="I34" s="3"/>
      <c r="J34" s="3"/>
    </row>
    <row r="35" spans="1:10" x14ac:dyDescent="0.25">
      <c r="A35" s="3"/>
      <c r="B35" s="5" t="s">
        <v>86</v>
      </c>
      <c r="C35" s="3"/>
      <c r="D35" s="3"/>
      <c r="E35" s="3"/>
      <c r="F35" s="3"/>
      <c r="G35" s="3"/>
      <c r="H35" s="3"/>
      <c r="I35" s="3"/>
      <c r="J35" s="3"/>
    </row>
    <row r="36" spans="1:10" x14ac:dyDescent="0.25">
      <c r="A36" s="3" t="s">
        <v>22</v>
      </c>
      <c r="B36" s="4" t="s">
        <v>87</v>
      </c>
      <c r="C36" s="3"/>
      <c r="D36" s="3"/>
      <c r="E36" s="3"/>
      <c r="F36" s="3"/>
      <c r="G36" s="3"/>
      <c r="H36" s="3"/>
      <c r="I36" s="3"/>
      <c r="J36" s="3"/>
    </row>
    <row r="37" spans="1:10" x14ac:dyDescent="0.25">
      <c r="A37" s="3" t="s">
        <v>22</v>
      </c>
      <c r="B37" s="4" t="s">
        <v>88</v>
      </c>
      <c r="C37" s="3"/>
      <c r="D37" s="3"/>
      <c r="E37" s="3"/>
      <c r="F37" s="3"/>
      <c r="G37" s="3"/>
      <c r="H37" s="3"/>
      <c r="I37" s="3"/>
      <c r="J37" s="3"/>
    </row>
    <row r="38" spans="1:10" x14ac:dyDescent="0.25">
      <c r="A38" s="2" t="s">
        <v>89</v>
      </c>
      <c r="B38" s="14" t="s">
        <v>90</v>
      </c>
      <c r="C38" s="3"/>
      <c r="D38" s="3"/>
      <c r="E38" s="3"/>
      <c r="F38" s="3"/>
      <c r="G38" s="3"/>
      <c r="H38" s="3"/>
      <c r="I38" s="3"/>
      <c r="J38" s="3"/>
    </row>
    <row r="39" spans="1:10" x14ac:dyDescent="0.25">
      <c r="A39" s="3"/>
      <c r="B39" s="5" t="s">
        <v>91</v>
      </c>
      <c r="C39" s="3"/>
      <c r="D39" s="3"/>
      <c r="E39" s="3"/>
      <c r="F39" s="3"/>
      <c r="G39" s="3"/>
      <c r="H39" s="3"/>
      <c r="I39" s="3"/>
      <c r="J39" s="3"/>
    </row>
    <row r="40" spans="1:10" x14ac:dyDescent="0.25">
      <c r="A40" s="3"/>
      <c r="B40" s="5" t="s">
        <v>92</v>
      </c>
      <c r="C40" s="3"/>
      <c r="D40" s="3"/>
      <c r="E40" s="3"/>
      <c r="F40" s="3"/>
      <c r="G40" s="3"/>
      <c r="H40" s="3"/>
      <c r="I40" s="3"/>
      <c r="J40" s="3"/>
    </row>
    <row r="41" spans="1:10" x14ac:dyDescent="0.25">
      <c r="A41" s="2" t="s">
        <v>83</v>
      </c>
      <c r="B41" s="14" t="s">
        <v>93</v>
      </c>
      <c r="C41" s="3"/>
      <c r="D41" s="3"/>
      <c r="E41" s="3"/>
      <c r="F41" s="3"/>
      <c r="G41" s="3"/>
      <c r="H41" s="3"/>
      <c r="I41" s="3"/>
      <c r="J41" s="3"/>
    </row>
    <row r="42" spans="1:10" x14ac:dyDescent="0.25">
      <c r="A42" s="3"/>
      <c r="B42" s="5" t="s">
        <v>94</v>
      </c>
      <c r="C42" s="3"/>
      <c r="D42" s="3"/>
      <c r="E42" s="3"/>
      <c r="F42" s="3"/>
      <c r="G42" s="3"/>
      <c r="H42" s="3"/>
      <c r="I42" s="3"/>
      <c r="J42" s="3"/>
    </row>
    <row r="43" spans="1:10" x14ac:dyDescent="0.25">
      <c r="A43" s="3"/>
      <c r="B43" s="5" t="s">
        <v>95</v>
      </c>
      <c r="C43" s="3"/>
      <c r="D43" s="3"/>
      <c r="E43" s="3"/>
      <c r="F43" s="3"/>
      <c r="G43" s="3"/>
      <c r="H43" s="3"/>
      <c r="I43" s="3"/>
      <c r="J43" s="3"/>
    </row>
    <row r="44" spans="1:10" x14ac:dyDescent="0.25">
      <c r="A44" s="2" t="s">
        <v>70</v>
      </c>
      <c r="B44" s="14" t="s">
        <v>96</v>
      </c>
      <c r="C44" s="3"/>
      <c r="D44" s="3"/>
      <c r="E44" s="3"/>
      <c r="F44" s="3"/>
      <c r="G44" s="3"/>
      <c r="H44" s="3"/>
      <c r="I44" s="3"/>
      <c r="J44" s="3"/>
    </row>
    <row r="45" spans="1:10" x14ac:dyDescent="0.25">
      <c r="A45" s="3"/>
      <c r="B45" s="5" t="s">
        <v>94</v>
      </c>
      <c r="C45" s="3"/>
      <c r="D45" s="3"/>
      <c r="E45" s="3"/>
      <c r="F45" s="3"/>
      <c r="G45" s="3"/>
      <c r="H45" s="3"/>
      <c r="I45" s="3"/>
      <c r="J45" s="3"/>
    </row>
    <row r="46" spans="1:10" x14ac:dyDescent="0.25">
      <c r="A46" s="3"/>
      <c r="B46" s="5" t="s">
        <v>95</v>
      </c>
      <c r="C46" s="3"/>
      <c r="D46" s="3"/>
      <c r="E46" s="3"/>
      <c r="F46" s="3"/>
      <c r="G46" s="3"/>
      <c r="H46" s="3"/>
      <c r="I46" s="3"/>
      <c r="J46" s="3"/>
    </row>
    <row r="47" spans="1:10" ht="28.5" x14ac:dyDescent="0.25">
      <c r="A47" s="2" t="s">
        <v>73</v>
      </c>
      <c r="B47" s="14" t="s">
        <v>97</v>
      </c>
      <c r="C47" s="3"/>
      <c r="D47" s="3"/>
      <c r="E47" s="3"/>
      <c r="F47" s="3"/>
      <c r="G47" s="3"/>
      <c r="H47" s="3"/>
      <c r="I47" s="3"/>
      <c r="J47" s="3"/>
    </row>
    <row r="48" spans="1:10" x14ac:dyDescent="0.25">
      <c r="A48" s="3"/>
      <c r="B48" s="5" t="s">
        <v>94</v>
      </c>
      <c r="C48" s="3"/>
      <c r="D48" s="3"/>
      <c r="E48" s="3"/>
      <c r="F48" s="3"/>
      <c r="G48" s="3"/>
      <c r="H48" s="3"/>
      <c r="I48" s="3"/>
      <c r="J48" s="3"/>
    </row>
    <row r="49" spans="1:10" x14ac:dyDescent="0.25">
      <c r="A49" s="3"/>
      <c r="B49" s="5" t="s">
        <v>95</v>
      </c>
      <c r="C49" s="3"/>
      <c r="D49" s="3"/>
      <c r="E49" s="3"/>
      <c r="F49" s="3"/>
      <c r="G49" s="3"/>
      <c r="H49" s="3"/>
      <c r="I49" s="3"/>
      <c r="J49" s="3"/>
    </row>
    <row r="50" spans="1:10" x14ac:dyDescent="0.25">
      <c r="A50" s="2" t="s">
        <v>77</v>
      </c>
      <c r="B50" s="14" t="s">
        <v>98</v>
      </c>
      <c r="C50" s="3"/>
      <c r="D50" s="3"/>
      <c r="E50" s="3"/>
      <c r="F50" s="3"/>
      <c r="G50" s="3"/>
      <c r="H50" s="3"/>
      <c r="I50" s="3"/>
      <c r="J50" s="3"/>
    </row>
    <row r="51" spans="1:10" x14ac:dyDescent="0.25">
      <c r="A51" s="2" t="s">
        <v>99</v>
      </c>
      <c r="B51" s="14" t="s">
        <v>100</v>
      </c>
      <c r="C51" s="3"/>
      <c r="D51" s="3"/>
      <c r="E51" s="3"/>
      <c r="F51" s="3"/>
      <c r="G51" s="3"/>
      <c r="H51" s="3"/>
      <c r="I51" s="3"/>
      <c r="J51" s="3"/>
    </row>
    <row r="52" spans="1:10" x14ac:dyDescent="0.25">
      <c r="A52" s="2" t="s">
        <v>101</v>
      </c>
      <c r="B52" s="14" t="s">
        <v>102</v>
      </c>
      <c r="C52" s="3"/>
      <c r="D52" s="3"/>
      <c r="E52" s="3"/>
      <c r="F52" s="3"/>
      <c r="G52" s="3"/>
      <c r="H52" s="3"/>
      <c r="I52" s="3"/>
      <c r="J52" s="3"/>
    </row>
    <row r="53" spans="1:10" x14ac:dyDescent="0.25">
      <c r="A53" s="2" t="s">
        <v>83</v>
      </c>
      <c r="B53" s="14" t="s">
        <v>103</v>
      </c>
      <c r="C53" s="3"/>
      <c r="D53" s="3"/>
      <c r="E53" s="3"/>
      <c r="F53" s="3"/>
      <c r="G53" s="3"/>
      <c r="H53" s="3"/>
      <c r="I53" s="3"/>
      <c r="J53" s="3"/>
    </row>
    <row r="54" spans="1:10" x14ac:dyDescent="0.25">
      <c r="A54" s="2" t="s">
        <v>70</v>
      </c>
      <c r="B54" s="14" t="s">
        <v>104</v>
      </c>
      <c r="C54" s="3"/>
      <c r="D54" s="3"/>
      <c r="E54" s="3"/>
      <c r="F54" s="3"/>
      <c r="G54" s="3"/>
      <c r="H54" s="3"/>
      <c r="I54" s="3"/>
      <c r="J54" s="3"/>
    </row>
    <row r="55" spans="1:10" ht="30" x14ac:dyDescent="0.25">
      <c r="A55" s="3"/>
      <c r="B55" s="5" t="s">
        <v>105</v>
      </c>
      <c r="C55" s="3"/>
      <c r="D55" s="3"/>
      <c r="E55" s="3"/>
      <c r="F55" s="3"/>
      <c r="G55" s="3"/>
      <c r="H55" s="3"/>
      <c r="I55" s="3"/>
      <c r="J55" s="3"/>
    </row>
    <row r="56" spans="1:10" x14ac:dyDescent="0.25">
      <c r="A56" s="3"/>
      <c r="B56" s="5" t="s">
        <v>106</v>
      </c>
      <c r="C56" s="3"/>
      <c r="D56" s="3"/>
      <c r="E56" s="3"/>
      <c r="F56" s="3"/>
      <c r="G56" s="3"/>
      <c r="H56" s="3"/>
      <c r="I56" s="3"/>
      <c r="J56" s="3"/>
    </row>
    <row r="57" spans="1:10" x14ac:dyDescent="0.25">
      <c r="A57" s="2" t="s">
        <v>73</v>
      </c>
      <c r="B57" s="14" t="s">
        <v>107</v>
      </c>
      <c r="C57" s="3"/>
      <c r="D57" s="3"/>
      <c r="E57" s="3"/>
      <c r="F57" s="3"/>
      <c r="G57" s="3"/>
      <c r="H57" s="3"/>
      <c r="I57" s="3"/>
      <c r="J57" s="3"/>
    </row>
    <row r="58" spans="1:10" x14ac:dyDescent="0.25">
      <c r="A58" s="3" t="s">
        <v>22</v>
      </c>
      <c r="B58" s="4" t="s">
        <v>108</v>
      </c>
      <c r="C58" s="3"/>
      <c r="D58" s="3"/>
      <c r="E58" s="3"/>
      <c r="F58" s="3"/>
      <c r="G58" s="3"/>
      <c r="H58" s="3"/>
      <c r="I58" s="3"/>
      <c r="J58" s="3"/>
    </row>
    <row r="59" spans="1:10" ht="30" x14ac:dyDescent="0.25">
      <c r="A59" s="3" t="s">
        <v>22</v>
      </c>
      <c r="B59" s="4" t="s">
        <v>109</v>
      </c>
      <c r="C59" s="3"/>
      <c r="D59" s="3"/>
      <c r="E59" s="3"/>
      <c r="F59" s="3"/>
      <c r="G59" s="3"/>
      <c r="H59" s="3"/>
      <c r="I59" s="3"/>
      <c r="J59" s="3"/>
    </row>
    <row r="60" spans="1:10" x14ac:dyDescent="0.25">
      <c r="A60" s="2" t="s">
        <v>77</v>
      </c>
      <c r="B60" s="14" t="s">
        <v>110</v>
      </c>
      <c r="C60" s="3"/>
      <c r="D60" s="3"/>
      <c r="E60" s="3"/>
      <c r="F60" s="3"/>
      <c r="G60" s="3"/>
      <c r="H60" s="3"/>
      <c r="I60" s="3"/>
      <c r="J60" s="3"/>
    </row>
    <row r="61" spans="1:10" x14ac:dyDescent="0.25">
      <c r="A61" s="3" t="s">
        <v>22</v>
      </c>
      <c r="B61" s="4" t="s">
        <v>111</v>
      </c>
      <c r="C61" s="3"/>
      <c r="D61" s="3"/>
      <c r="E61" s="3"/>
      <c r="F61" s="3"/>
      <c r="G61" s="3"/>
      <c r="H61" s="3"/>
      <c r="I61" s="3"/>
      <c r="J61" s="3"/>
    </row>
    <row r="62" spans="1:10" x14ac:dyDescent="0.25">
      <c r="A62" s="3" t="s">
        <v>22</v>
      </c>
      <c r="B62" s="4" t="s">
        <v>112</v>
      </c>
      <c r="C62" s="3"/>
      <c r="D62" s="3"/>
      <c r="E62" s="3"/>
      <c r="F62" s="3"/>
      <c r="G62" s="3"/>
      <c r="H62" s="3"/>
      <c r="I62" s="3"/>
      <c r="J62" s="3"/>
    </row>
    <row r="63" spans="1:10" x14ac:dyDescent="0.25">
      <c r="A63" s="2" t="s">
        <v>113</v>
      </c>
      <c r="B63" s="14" t="s">
        <v>114</v>
      </c>
      <c r="C63" s="3"/>
      <c r="D63" s="3"/>
      <c r="E63" s="3"/>
      <c r="F63" s="3"/>
      <c r="G63" s="3"/>
      <c r="H63" s="3"/>
      <c r="I63" s="3"/>
      <c r="J63" s="3"/>
    </row>
    <row r="64" spans="1:10" ht="30" x14ac:dyDescent="0.25">
      <c r="A64" s="3"/>
      <c r="B64" s="5" t="s">
        <v>115</v>
      </c>
      <c r="C64" s="3"/>
      <c r="D64" s="3"/>
      <c r="E64" s="3"/>
      <c r="F64" s="3"/>
      <c r="G64" s="3"/>
      <c r="H64" s="3"/>
      <c r="I64" s="3"/>
      <c r="J64" s="3"/>
    </row>
    <row r="65" spans="1:10" x14ac:dyDescent="0.25">
      <c r="A65" s="3"/>
      <c r="B65" s="5" t="s">
        <v>116</v>
      </c>
      <c r="C65" s="3"/>
      <c r="D65" s="3"/>
      <c r="E65" s="3"/>
      <c r="F65" s="3"/>
      <c r="G65" s="3"/>
      <c r="H65" s="3"/>
      <c r="I65" s="3"/>
      <c r="J65" s="3"/>
    </row>
    <row r="66" spans="1:10" x14ac:dyDescent="0.25">
      <c r="A66" s="15" t="s">
        <v>118</v>
      </c>
    </row>
    <row r="67" spans="1:10" x14ac:dyDescent="0.25">
      <c r="A67" s="425" t="s">
        <v>119</v>
      </c>
      <c r="B67" s="425"/>
      <c r="C67" s="425"/>
      <c r="D67" s="425"/>
      <c r="E67" s="425"/>
      <c r="F67" s="425"/>
      <c r="G67" s="425"/>
      <c r="H67" s="425"/>
      <c r="I67" s="425"/>
      <c r="J67" s="425"/>
    </row>
    <row r="68" spans="1:10" x14ac:dyDescent="0.25">
      <c r="A68" s="6" t="s">
        <v>117</v>
      </c>
    </row>
  </sheetData>
  <mergeCells count="10">
    <mergeCell ref="A1:J1"/>
    <mergeCell ref="A2:J2"/>
    <mergeCell ref="A3:J3"/>
    <mergeCell ref="I4:J4"/>
    <mergeCell ref="A67:J67"/>
    <mergeCell ref="A5:A6"/>
    <mergeCell ref="B5:B6"/>
    <mergeCell ref="C5:C6"/>
    <mergeCell ref="D5:I5"/>
    <mergeCell ref="J5:J6"/>
  </mergeCells>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39997558519241921"/>
  </sheetPr>
  <dimension ref="A1:I50"/>
  <sheetViews>
    <sheetView workbookViewId="0">
      <selection activeCell="E33" sqref="E33"/>
    </sheetView>
  </sheetViews>
  <sheetFormatPr defaultColWidth="9.140625" defaultRowHeight="15" x14ac:dyDescent="0.25"/>
  <cols>
    <col min="1" max="1" width="6.28515625" style="7" customWidth="1"/>
    <col min="2" max="2" width="31.28515625" style="7" customWidth="1"/>
    <col min="3" max="8" width="10.28515625" style="7" customWidth="1"/>
    <col min="9" max="16384" width="9.140625" style="7"/>
  </cols>
  <sheetData>
    <row r="1" spans="1:9" x14ac:dyDescent="0.25">
      <c r="A1" s="426" t="s">
        <v>124</v>
      </c>
      <c r="B1" s="426"/>
      <c r="C1" s="426"/>
      <c r="D1" s="426"/>
      <c r="E1" s="426"/>
      <c r="F1" s="426"/>
      <c r="G1" s="426"/>
      <c r="H1" s="426"/>
      <c r="I1" s="426"/>
    </row>
    <row r="2" spans="1:9" ht="18.75" x14ac:dyDescent="0.25">
      <c r="A2" s="427" t="s">
        <v>125</v>
      </c>
      <c r="B2" s="427"/>
      <c r="C2" s="427"/>
      <c r="D2" s="427"/>
      <c r="E2" s="427"/>
      <c r="F2" s="427"/>
      <c r="G2" s="427"/>
      <c r="H2" s="427"/>
      <c r="I2" s="427"/>
    </row>
    <row r="3" spans="1:9" x14ac:dyDescent="0.25">
      <c r="A3" s="428" t="s">
        <v>126</v>
      </c>
      <c r="B3" s="428"/>
      <c r="C3" s="428"/>
      <c r="D3" s="428"/>
      <c r="E3" s="428"/>
      <c r="F3" s="428"/>
      <c r="G3" s="428"/>
      <c r="H3" s="428"/>
      <c r="I3" s="428"/>
    </row>
    <row r="4" spans="1:9" x14ac:dyDescent="0.25">
      <c r="H4" s="429" t="s">
        <v>56</v>
      </c>
      <c r="I4" s="429"/>
    </row>
    <row r="5" spans="1:9" x14ac:dyDescent="0.25">
      <c r="A5" s="430" t="s">
        <v>3</v>
      </c>
      <c r="B5" s="430" t="s">
        <v>4</v>
      </c>
      <c r="C5" s="430" t="s">
        <v>127</v>
      </c>
      <c r="D5" s="430"/>
      <c r="E5" s="430"/>
      <c r="F5" s="430" t="s">
        <v>128</v>
      </c>
      <c r="G5" s="430"/>
      <c r="H5" s="430"/>
      <c r="I5" s="430" t="s">
        <v>129</v>
      </c>
    </row>
    <row r="6" spans="1:9" ht="57" x14ac:dyDescent="0.25">
      <c r="A6" s="430"/>
      <c r="B6" s="430"/>
      <c r="C6" s="8" t="s">
        <v>130</v>
      </c>
      <c r="D6" s="8" t="s">
        <v>131</v>
      </c>
      <c r="E6" s="8" t="s">
        <v>132</v>
      </c>
      <c r="F6" s="8" t="s">
        <v>130</v>
      </c>
      <c r="G6" s="8" t="s">
        <v>131</v>
      </c>
      <c r="H6" s="8" t="s">
        <v>132</v>
      </c>
      <c r="I6" s="430"/>
    </row>
    <row r="7" spans="1:9" x14ac:dyDescent="0.25">
      <c r="A7" s="8" t="s">
        <v>15</v>
      </c>
      <c r="B7" s="8" t="s">
        <v>16</v>
      </c>
      <c r="C7" s="8">
        <v>1</v>
      </c>
      <c r="D7" s="8">
        <v>2</v>
      </c>
      <c r="E7" s="8">
        <v>3</v>
      </c>
      <c r="F7" s="8">
        <v>4</v>
      </c>
      <c r="G7" s="8">
        <v>5</v>
      </c>
      <c r="H7" s="8">
        <v>6</v>
      </c>
      <c r="I7" s="8">
        <v>7</v>
      </c>
    </row>
    <row r="8" spans="1:9" x14ac:dyDescent="0.25">
      <c r="A8" s="10"/>
      <c r="B8" s="8" t="s">
        <v>133</v>
      </c>
      <c r="C8" s="10"/>
      <c r="D8" s="10"/>
      <c r="E8" s="10"/>
      <c r="F8" s="10"/>
      <c r="G8" s="10"/>
      <c r="H8" s="10"/>
      <c r="I8" s="10"/>
    </row>
    <row r="9" spans="1:9" x14ac:dyDescent="0.25">
      <c r="A9" s="10"/>
      <c r="B9" s="11" t="s">
        <v>134</v>
      </c>
      <c r="C9" s="10"/>
      <c r="D9" s="10"/>
      <c r="E9" s="10"/>
      <c r="F9" s="10"/>
      <c r="G9" s="10"/>
      <c r="H9" s="10"/>
      <c r="I9" s="10"/>
    </row>
    <row r="10" spans="1:9" x14ac:dyDescent="0.25">
      <c r="A10" s="10" t="s">
        <v>22</v>
      </c>
      <c r="B10" s="11" t="s">
        <v>135</v>
      </c>
      <c r="C10" s="10"/>
      <c r="D10" s="10"/>
      <c r="E10" s="10"/>
      <c r="F10" s="10"/>
      <c r="G10" s="10"/>
      <c r="H10" s="10"/>
      <c r="I10" s="10"/>
    </row>
    <row r="11" spans="1:9" x14ac:dyDescent="0.25">
      <c r="A11" s="10" t="s">
        <v>22</v>
      </c>
      <c r="B11" s="11" t="s">
        <v>136</v>
      </c>
      <c r="C11" s="10"/>
      <c r="D11" s="10"/>
      <c r="E11" s="10"/>
      <c r="F11" s="10"/>
      <c r="G11" s="10"/>
      <c r="H11" s="10"/>
      <c r="I11" s="10"/>
    </row>
    <row r="12" spans="1:9" x14ac:dyDescent="0.25">
      <c r="A12" s="8" t="s">
        <v>83</v>
      </c>
      <c r="B12" s="9" t="s">
        <v>137</v>
      </c>
      <c r="C12" s="10"/>
      <c r="D12" s="10"/>
      <c r="E12" s="10"/>
      <c r="F12" s="10"/>
      <c r="G12" s="10"/>
      <c r="H12" s="10"/>
      <c r="I12" s="10"/>
    </row>
    <row r="13" spans="1:9" x14ac:dyDescent="0.25">
      <c r="A13" s="10"/>
      <c r="B13" s="11" t="s">
        <v>134</v>
      </c>
      <c r="C13" s="10"/>
      <c r="D13" s="10"/>
      <c r="E13" s="10"/>
      <c r="F13" s="10"/>
      <c r="G13" s="10"/>
      <c r="H13" s="10"/>
      <c r="I13" s="10"/>
    </row>
    <row r="14" spans="1:9" x14ac:dyDescent="0.25">
      <c r="A14" s="10" t="s">
        <v>22</v>
      </c>
      <c r="B14" s="11" t="s">
        <v>135</v>
      </c>
      <c r="C14" s="10"/>
      <c r="D14" s="10"/>
      <c r="E14" s="10"/>
      <c r="F14" s="10"/>
      <c r="G14" s="10"/>
      <c r="H14" s="10"/>
      <c r="I14" s="10"/>
    </row>
    <row r="15" spans="1:9" x14ac:dyDescent="0.25">
      <c r="A15" s="10" t="s">
        <v>22</v>
      </c>
      <c r="B15" s="11" t="s">
        <v>136</v>
      </c>
      <c r="C15" s="10"/>
      <c r="D15" s="10"/>
      <c r="E15" s="10"/>
      <c r="F15" s="10"/>
      <c r="G15" s="10"/>
      <c r="H15" s="10"/>
      <c r="I15" s="10"/>
    </row>
    <row r="16" spans="1:9" x14ac:dyDescent="0.25">
      <c r="A16" s="10">
        <v>1</v>
      </c>
      <c r="B16" s="11" t="s">
        <v>138</v>
      </c>
      <c r="C16" s="10"/>
      <c r="D16" s="10"/>
      <c r="E16" s="10"/>
      <c r="F16" s="10"/>
      <c r="G16" s="10"/>
      <c r="H16" s="10"/>
      <c r="I16" s="10"/>
    </row>
    <row r="17" spans="1:9" ht="30" x14ac:dyDescent="0.25">
      <c r="A17" s="10">
        <v>2</v>
      </c>
      <c r="B17" s="11" t="s">
        <v>139</v>
      </c>
      <c r="C17" s="10"/>
      <c r="D17" s="10"/>
      <c r="E17" s="10"/>
      <c r="F17" s="10"/>
      <c r="G17" s="10"/>
      <c r="H17" s="10"/>
      <c r="I17" s="10"/>
    </row>
    <row r="18" spans="1:9" ht="30" x14ac:dyDescent="0.25">
      <c r="A18" s="10">
        <v>3</v>
      </c>
      <c r="B18" s="11" t="s">
        <v>140</v>
      </c>
      <c r="C18" s="10"/>
      <c r="D18" s="10"/>
      <c r="E18" s="10"/>
      <c r="F18" s="10"/>
      <c r="G18" s="10"/>
      <c r="H18" s="10"/>
      <c r="I18" s="10"/>
    </row>
    <row r="19" spans="1:9" x14ac:dyDescent="0.25">
      <c r="A19" s="10">
        <v>4</v>
      </c>
      <c r="B19" s="11" t="s">
        <v>141</v>
      </c>
      <c r="C19" s="10"/>
      <c r="D19" s="10"/>
      <c r="E19" s="10"/>
      <c r="F19" s="10"/>
      <c r="G19" s="10"/>
      <c r="H19" s="10"/>
      <c r="I19" s="10"/>
    </row>
    <row r="20" spans="1:9" ht="28.5" x14ac:dyDescent="0.25">
      <c r="A20" s="8" t="s">
        <v>70</v>
      </c>
      <c r="B20" s="9" t="s">
        <v>142</v>
      </c>
      <c r="C20" s="10"/>
      <c r="D20" s="10"/>
      <c r="E20" s="10"/>
      <c r="F20" s="10"/>
      <c r="G20" s="10"/>
      <c r="H20" s="10"/>
      <c r="I20" s="10"/>
    </row>
    <row r="21" spans="1:9" x14ac:dyDescent="0.25">
      <c r="A21" s="10"/>
      <c r="B21" s="11" t="s">
        <v>134</v>
      </c>
      <c r="C21" s="10"/>
      <c r="D21" s="10"/>
      <c r="E21" s="10"/>
      <c r="F21" s="10"/>
      <c r="G21" s="10"/>
      <c r="H21" s="10"/>
      <c r="I21" s="10"/>
    </row>
    <row r="22" spans="1:9" x14ac:dyDescent="0.25">
      <c r="A22" s="10" t="s">
        <v>22</v>
      </c>
      <c r="B22" s="11" t="s">
        <v>135</v>
      </c>
      <c r="C22" s="10"/>
      <c r="D22" s="10"/>
      <c r="E22" s="10"/>
      <c r="F22" s="10"/>
      <c r="G22" s="10"/>
      <c r="H22" s="10"/>
      <c r="I22" s="10"/>
    </row>
    <row r="23" spans="1:9" x14ac:dyDescent="0.25">
      <c r="A23" s="10" t="s">
        <v>22</v>
      </c>
      <c r="B23" s="11" t="s">
        <v>136</v>
      </c>
      <c r="C23" s="10"/>
      <c r="D23" s="10"/>
      <c r="E23" s="10"/>
      <c r="F23" s="10"/>
      <c r="G23" s="10"/>
      <c r="H23" s="10"/>
      <c r="I23" s="10"/>
    </row>
    <row r="24" spans="1:9" ht="28.5" x14ac:dyDescent="0.25">
      <c r="A24" s="8">
        <v>1</v>
      </c>
      <c r="B24" s="9" t="s">
        <v>143</v>
      </c>
      <c r="C24" s="10"/>
      <c r="D24" s="10"/>
      <c r="E24" s="10"/>
      <c r="F24" s="10"/>
      <c r="G24" s="10"/>
      <c r="H24" s="10"/>
      <c r="I24" s="10"/>
    </row>
    <row r="25" spans="1:9" x14ac:dyDescent="0.25">
      <c r="A25" s="10"/>
      <c r="B25" s="11" t="s">
        <v>134</v>
      </c>
      <c r="C25" s="10"/>
      <c r="D25" s="10"/>
      <c r="E25" s="10"/>
      <c r="F25" s="10"/>
      <c r="G25" s="10"/>
      <c r="H25" s="10"/>
      <c r="I25" s="10"/>
    </row>
    <row r="26" spans="1:9" x14ac:dyDescent="0.25">
      <c r="A26" s="10" t="s">
        <v>22</v>
      </c>
      <c r="B26" s="11" t="s">
        <v>135</v>
      </c>
      <c r="C26" s="10"/>
      <c r="D26" s="10"/>
      <c r="E26" s="10"/>
      <c r="F26" s="10"/>
      <c r="G26" s="10"/>
      <c r="H26" s="10"/>
      <c r="I26" s="10"/>
    </row>
    <row r="27" spans="1:9" x14ac:dyDescent="0.25">
      <c r="A27" s="10" t="s">
        <v>22</v>
      </c>
      <c r="B27" s="11" t="s">
        <v>136</v>
      </c>
      <c r="C27" s="10"/>
      <c r="D27" s="10"/>
      <c r="E27" s="10"/>
      <c r="F27" s="10"/>
      <c r="G27" s="10"/>
      <c r="H27" s="10"/>
      <c r="I27" s="10"/>
    </row>
    <row r="28" spans="1:9" x14ac:dyDescent="0.25">
      <c r="A28" s="10" t="s">
        <v>144</v>
      </c>
      <c r="B28" s="12" t="s">
        <v>145</v>
      </c>
      <c r="C28" s="10"/>
      <c r="D28" s="10"/>
      <c r="E28" s="10"/>
      <c r="F28" s="10"/>
      <c r="G28" s="10"/>
      <c r="H28" s="10"/>
      <c r="I28" s="10"/>
    </row>
    <row r="29" spans="1:9" x14ac:dyDescent="0.25">
      <c r="A29" s="10"/>
      <c r="B29" s="11" t="s">
        <v>134</v>
      </c>
      <c r="C29" s="10"/>
      <c r="D29" s="10"/>
      <c r="E29" s="10"/>
      <c r="F29" s="10"/>
      <c r="G29" s="10"/>
      <c r="H29" s="10"/>
      <c r="I29" s="10"/>
    </row>
    <row r="30" spans="1:9" x14ac:dyDescent="0.25">
      <c r="A30" s="10" t="s">
        <v>22</v>
      </c>
      <c r="B30" s="11" t="s">
        <v>135</v>
      </c>
      <c r="C30" s="10"/>
      <c r="D30" s="10"/>
      <c r="E30" s="10"/>
      <c r="F30" s="10"/>
      <c r="G30" s="10"/>
      <c r="H30" s="10"/>
      <c r="I30" s="10"/>
    </row>
    <row r="31" spans="1:9" x14ac:dyDescent="0.25">
      <c r="A31" s="10" t="s">
        <v>22</v>
      </c>
      <c r="B31" s="11" t="s">
        <v>136</v>
      </c>
      <c r="C31" s="10"/>
      <c r="D31" s="10"/>
      <c r="E31" s="10"/>
      <c r="F31" s="10"/>
      <c r="G31" s="10"/>
      <c r="H31" s="10"/>
      <c r="I31" s="10"/>
    </row>
    <row r="32" spans="1:9" x14ac:dyDescent="0.25">
      <c r="A32" s="10" t="s">
        <v>146</v>
      </c>
      <c r="B32" s="12" t="s">
        <v>147</v>
      </c>
      <c r="C32" s="10"/>
      <c r="D32" s="10"/>
      <c r="E32" s="10"/>
      <c r="F32" s="10"/>
      <c r="G32" s="10"/>
      <c r="H32" s="10"/>
      <c r="I32" s="10"/>
    </row>
    <row r="33" spans="1:9" x14ac:dyDescent="0.25">
      <c r="A33" s="10"/>
      <c r="B33" s="11" t="s">
        <v>148</v>
      </c>
      <c r="C33" s="10"/>
      <c r="D33" s="10"/>
      <c r="E33" s="10"/>
      <c r="F33" s="10"/>
      <c r="G33" s="10"/>
      <c r="H33" s="10"/>
      <c r="I33" s="10"/>
    </row>
    <row r="34" spans="1:9" x14ac:dyDescent="0.25">
      <c r="A34" s="10" t="s">
        <v>149</v>
      </c>
      <c r="B34" s="12" t="s">
        <v>150</v>
      </c>
      <c r="C34" s="10"/>
      <c r="D34" s="10"/>
      <c r="E34" s="10"/>
      <c r="F34" s="10"/>
      <c r="G34" s="10"/>
      <c r="H34" s="10"/>
      <c r="I34" s="10"/>
    </row>
    <row r="35" spans="1:9" x14ac:dyDescent="0.25">
      <c r="A35" s="8">
        <v>2</v>
      </c>
      <c r="B35" s="9" t="s">
        <v>151</v>
      </c>
      <c r="C35" s="10"/>
      <c r="D35" s="10"/>
      <c r="E35" s="10"/>
      <c r="F35" s="10"/>
      <c r="G35" s="10"/>
      <c r="H35" s="10"/>
      <c r="I35" s="10"/>
    </row>
    <row r="36" spans="1:9" x14ac:dyDescent="0.25">
      <c r="A36" s="10"/>
      <c r="B36" s="11" t="s">
        <v>134</v>
      </c>
      <c r="C36" s="10"/>
      <c r="D36" s="10"/>
      <c r="E36" s="10"/>
      <c r="F36" s="10"/>
      <c r="G36" s="10"/>
      <c r="H36" s="10"/>
      <c r="I36" s="10"/>
    </row>
    <row r="37" spans="1:9" x14ac:dyDescent="0.25">
      <c r="A37" s="10" t="s">
        <v>22</v>
      </c>
      <c r="B37" s="11" t="s">
        <v>135</v>
      </c>
      <c r="C37" s="10"/>
      <c r="D37" s="10"/>
      <c r="E37" s="10"/>
      <c r="F37" s="10"/>
      <c r="G37" s="10"/>
      <c r="H37" s="10"/>
      <c r="I37" s="10"/>
    </row>
    <row r="38" spans="1:9" x14ac:dyDescent="0.25">
      <c r="A38" s="10" t="s">
        <v>22</v>
      </c>
      <c r="B38" s="11" t="s">
        <v>136</v>
      </c>
      <c r="C38" s="10"/>
      <c r="D38" s="10"/>
      <c r="E38" s="10"/>
      <c r="F38" s="10"/>
      <c r="G38" s="10"/>
      <c r="H38" s="10"/>
      <c r="I38" s="10"/>
    </row>
    <row r="39" spans="1:9" x14ac:dyDescent="0.25">
      <c r="A39" s="10" t="s">
        <v>144</v>
      </c>
      <c r="B39" s="12" t="s">
        <v>152</v>
      </c>
      <c r="C39" s="10"/>
      <c r="D39" s="10"/>
      <c r="E39" s="10"/>
      <c r="F39" s="10"/>
      <c r="G39" s="10"/>
      <c r="H39" s="10"/>
      <c r="I39" s="10"/>
    </row>
    <row r="40" spans="1:9" x14ac:dyDescent="0.25">
      <c r="A40" s="10"/>
      <c r="B40" s="11" t="s">
        <v>134</v>
      </c>
      <c r="C40" s="10"/>
      <c r="D40" s="10"/>
      <c r="E40" s="10"/>
      <c r="F40" s="10"/>
      <c r="G40" s="10"/>
      <c r="H40" s="10"/>
      <c r="I40" s="10"/>
    </row>
    <row r="41" spans="1:9" x14ac:dyDescent="0.25">
      <c r="A41" s="10" t="s">
        <v>22</v>
      </c>
      <c r="B41" s="11" t="s">
        <v>135</v>
      </c>
      <c r="C41" s="10"/>
      <c r="D41" s="10"/>
      <c r="E41" s="10"/>
      <c r="F41" s="10"/>
      <c r="G41" s="10"/>
      <c r="H41" s="10"/>
      <c r="I41" s="10"/>
    </row>
    <row r="42" spans="1:9" x14ac:dyDescent="0.25">
      <c r="A42" s="10" t="s">
        <v>22</v>
      </c>
      <c r="B42" s="11" t="s">
        <v>136</v>
      </c>
      <c r="C42" s="10"/>
      <c r="D42" s="10"/>
      <c r="E42" s="10"/>
      <c r="F42" s="10"/>
      <c r="G42" s="10"/>
      <c r="H42" s="10"/>
      <c r="I42" s="10"/>
    </row>
    <row r="43" spans="1:9" x14ac:dyDescent="0.25">
      <c r="A43" s="10" t="s">
        <v>146</v>
      </c>
      <c r="B43" s="12" t="s">
        <v>153</v>
      </c>
      <c r="C43" s="10"/>
      <c r="D43" s="10"/>
      <c r="E43" s="10"/>
      <c r="F43" s="10"/>
      <c r="G43" s="10"/>
      <c r="H43" s="10"/>
      <c r="I43" s="10"/>
    </row>
    <row r="44" spans="1:9" x14ac:dyDescent="0.25">
      <c r="A44" s="10"/>
      <c r="B44" s="11" t="s">
        <v>154</v>
      </c>
      <c r="C44" s="10"/>
      <c r="D44" s="10"/>
      <c r="E44" s="10"/>
      <c r="F44" s="10"/>
      <c r="G44" s="10"/>
      <c r="H44" s="10"/>
      <c r="I44" s="10"/>
    </row>
    <row r="45" spans="1:9" x14ac:dyDescent="0.25">
      <c r="A45" s="10" t="s">
        <v>149</v>
      </c>
      <c r="B45" s="12" t="s">
        <v>150</v>
      </c>
      <c r="C45" s="10"/>
      <c r="D45" s="10"/>
      <c r="E45" s="10"/>
      <c r="F45" s="10"/>
      <c r="G45" s="10"/>
      <c r="H45" s="10"/>
      <c r="I45" s="10"/>
    </row>
    <row r="46" spans="1:9" ht="28.5" x14ac:dyDescent="0.25">
      <c r="A46" s="8" t="s">
        <v>73</v>
      </c>
      <c r="B46" s="9" t="s">
        <v>155</v>
      </c>
      <c r="C46" s="10"/>
      <c r="D46" s="10"/>
      <c r="E46" s="10"/>
      <c r="F46" s="10"/>
      <c r="G46" s="10"/>
      <c r="H46" s="10"/>
      <c r="I46" s="10"/>
    </row>
    <row r="47" spans="1:9" x14ac:dyDescent="0.25">
      <c r="A47" s="10">
        <v>1</v>
      </c>
      <c r="B47" s="11" t="s">
        <v>156</v>
      </c>
      <c r="C47" s="10"/>
      <c r="D47" s="10"/>
      <c r="E47" s="10"/>
      <c r="F47" s="10"/>
      <c r="G47" s="10"/>
      <c r="H47" s="10"/>
      <c r="I47" s="10"/>
    </row>
    <row r="48" spans="1:9" x14ac:dyDescent="0.25">
      <c r="A48" s="10">
        <v>2</v>
      </c>
      <c r="B48" s="11" t="s">
        <v>136</v>
      </c>
      <c r="C48" s="10"/>
      <c r="D48" s="10"/>
      <c r="E48" s="10"/>
      <c r="F48" s="10"/>
      <c r="G48" s="10"/>
      <c r="H48" s="10"/>
      <c r="I48" s="10"/>
    </row>
    <row r="49" spans="1:1" x14ac:dyDescent="0.25">
      <c r="A49" s="13" t="s">
        <v>157</v>
      </c>
    </row>
    <row r="50" spans="1:1" x14ac:dyDescent="0.25">
      <c r="A50" s="13" t="s">
        <v>158</v>
      </c>
    </row>
  </sheetData>
  <mergeCells count="9">
    <mergeCell ref="A1:I1"/>
    <mergeCell ref="A2:I2"/>
    <mergeCell ref="A3:I3"/>
    <mergeCell ref="H4:I4"/>
    <mergeCell ref="A5:A6"/>
    <mergeCell ref="B5:B6"/>
    <mergeCell ref="C5:E5"/>
    <mergeCell ref="F5:H5"/>
    <mergeCell ref="I5:I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39997558519241921"/>
  </sheetPr>
  <dimension ref="A1:K23"/>
  <sheetViews>
    <sheetView workbookViewId="0">
      <selection activeCell="E33" sqref="E33"/>
    </sheetView>
  </sheetViews>
  <sheetFormatPr defaultColWidth="9.140625" defaultRowHeight="15" x14ac:dyDescent="0.25"/>
  <cols>
    <col min="1" max="1" width="6.7109375" style="1" customWidth="1"/>
    <col min="2" max="2" width="31.28515625" style="1" customWidth="1"/>
    <col min="3" max="4" width="9.140625" style="1"/>
    <col min="5" max="5" width="14" style="1" customWidth="1"/>
    <col min="6" max="8" width="9.140625" style="1"/>
    <col min="9" max="9" width="12.28515625" style="1" customWidth="1"/>
    <col min="10" max="16384" width="9.140625" style="1"/>
  </cols>
  <sheetData>
    <row r="1" spans="1:11" ht="18.75" customHeight="1" x14ac:dyDescent="0.25">
      <c r="A1" s="422" t="s">
        <v>159</v>
      </c>
      <c r="B1" s="422"/>
      <c r="C1" s="422"/>
      <c r="D1" s="422"/>
      <c r="E1" s="422"/>
      <c r="F1" s="422"/>
      <c r="G1" s="422"/>
      <c r="H1" s="422"/>
      <c r="I1" s="422"/>
      <c r="J1" s="422"/>
      <c r="K1" s="422"/>
    </row>
    <row r="2" spans="1:11" ht="41.25" customHeight="1" x14ac:dyDescent="0.25">
      <c r="A2" s="417" t="s">
        <v>160</v>
      </c>
      <c r="B2" s="417"/>
      <c r="C2" s="417"/>
      <c r="D2" s="417"/>
      <c r="E2" s="417"/>
      <c r="F2" s="417"/>
      <c r="G2" s="417"/>
      <c r="H2" s="417"/>
      <c r="I2" s="417"/>
      <c r="J2" s="417"/>
      <c r="K2" s="417"/>
    </row>
    <row r="3" spans="1:11" x14ac:dyDescent="0.25">
      <c r="A3" s="423" t="s">
        <v>126</v>
      </c>
      <c r="B3" s="423"/>
      <c r="C3" s="423"/>
      <c r="D3" s="423"/>
      <c r="E3" s="423"/>
      <c r="F3" s="423"/>
      <c r="G3" s="423"/>
      <c r="H3" s="423"/>
      <c r="I3" s="423"/>
      <c r="J3" s="423"/>
      <c r="K3" s="423"/>
    </row>
    <row r="4" spans="1:11" x14ac:dyDescent="0.25">
      <c r="I4" s="424" t="s">
        <v>56</v>
      </c>
      <c r="J4" s="424"/>
      <c r="K4" s="424"/>
    </row>
    <row r="5" spans="1:11" x14ac:dyDescent="0.25">
      <c r="A5" s="421" t="s">
        <v>3</v>
      </c>
      <c r="B5" s="421" t="s">
        <v>161</v>
      </c>
      <c r="C5" s="421" t="s">
        <v>130</v>
      </c>
      <c r="D5" s="421" t="s">
        <v>162</v>
      </c>
      <c r="E5" s="421"/>
      <c r="F5" s="421"/>
      <c r="G5" s="421"/>
      <c r="H5" s="421"/>
      <c r="I5" s="421"/>
      <c r="J5" s="421"/>
      <c r="K5" s="421"/>
    </row>
    <row r="6" spans="1:11" x14ac:dyDescent="0.25">
      <c r="A6" s="421"/>
      <c r="B6" s="421"/>
      <c r="C6" s="421"/>
      <c r="D6" s="421" t="s">
        <v>135</v>
      </c>
      <c r="E6" s="421"/>
      <c r="F6" s="421"/>
      <c r="G6" s="421"/>
      <c r="H6" s="421" t="s">
        <v>136</v>
      </c>
      <c r="I6" s="421"/>
      <c r="J6" s="421"/>
      <c r="K6" s="421"/>
    </row>
    <row r="7" spans="1:11" x14ac:dyDescent="0.25">
      <c r="A7" s="421"/>
      <c r="B7" s="421"/>
      <c r="C7" s="421"/>
      <c r="D7" s="421" t="s">
        <v>130</v>
      </c>
      <c r="E7" s="421" t="s">
        <v>162</v>
      </c>
      <c r="F7" s="421"/>
      <c r="G7" s="421"/>
      <c r="H7" s="421" t="s">
        <v>130</v>
      </c>
      <c r="I7" s="421" t="s">
        <v>162</v>
      </c>
      <c r="J7" s="421"/>
      <c r="K7" s="421"/>
    </row>
    <row r="8" spans="1:11" ht="99.75" x14ac:dyDescent="0.25">
      <c r="A8" s="421"/>
      <c r="B8" s="421"/>
      <c r="C8" s="421"/>
      <c r="D8" s="421"/>
      <c r="E8" s="2" t="s">
        <v>163</v>
      </c>
      <c r="F8" s="2" t="s">
        <v>164</v>
      </c>
      <c r="G8" s="2" t="s">
        <v>165</v>
      </c>
      <c r="H8" s="421"/>
      <c r="I8" s="2" t="s">
        <v>163</v>
      </c>
      <c r="J8" s="2" t="s">
        <v>164</v>
      </c>
      <c r="K8" s="2" t="s">
        <v>165</v>
      </c>
    </row>
    <row r="9" spans="1:11" x14ac:dyDescent="0.25">
      <c r="A9" s="2" t="s">
        <v>15</v>
      </c>
      <c r="B9" s="2" t="s">
        <v>16</v>
      </c>
      <c r="C9" s="2">
        <v>1</v>
      </c>
      <c r="D9" s="2">
        <v>2</v>
      </c>
      <c r="E9" s="2">
        <v>3</v>
      </c>
      <c r="F9" s="2">
        <v>4</v>
      </c>
      <c r="G9" s="2">
        <v>5</v>
      </c>
      <c r="H9" s="2">
        <v>6</v>
      </c>
      <c r="I9" s="2">
        <v>7</v>
      </c>
      <c r="J9" s="2">
        <v>8</v>
      </c>
      <c r="K9" s="2">
        <v>9</v>
      </c>
    </row>
    <row r="10" spans="1:11" x14ac:dyDescent="0.25">
      <c r="A10" s="3"/>
      <c r="B10" s="2" t="s">
        <v>130</v>
      </c>
      <c r="C10" s="4"/>
      <c r="D10" s="4"/>
      <c r="E10" s="4"/>
      <c r="F10" s="4"/>
      <c r="G10" s="4"/>
      <c r="H10" s="4"/>
      <c r="I10" s="4"/>
      <c r="J10" s="4"/>
      <c r="K10" s="4"/>
    </row>
    <row r="11" spans="1:11" x14ac:dyDescent="0.25">
      <c r="A11" s="3">
        <v>1</v>
      </c>
      <c r="B11" s="4" t="s">
        <v>166</v>
      </c>
      <c r="C11" s="4"/>
      <c r="D11" s="4"/>
      <c r="E11" s="4"/>
      <c r="F11" s="4"/>
      <c r="G11" s="4"/>
      <c r="H11" s="4"/>
      <c r="I11" s="4"/>
      <c r="J11" s="4"/>
      <c r="K11" s="4"/>
    </row>
    <row r="12" spans="1:11" x14ac:dyDescent="0.25">
      <c r="A12" s="3">
        <v>2</v>
      </c>
      <c r="B12" s="4" t="s">
        <v>167</v>
      </c>
      <c r="C12" s="4"/>
      <c r="D12" s="4"/>
      <c r="E12" s="4"/>
      <c r="F12" s="4"/>
      <c r="G12" s="4"/>
      <c r="H12" s="4"/>
      <c r="I12" s="4"/>
      <c r="J12" s="4"/>
      <c r="K12" s="4"/>
    </row>
    <row r="13" spans="1:11" x14ac:dyDescent="0.25">
      <c r="A13" s="3">
        <v>3</v>
      </c>
      <c r="B13" s="4" t="s">
        <v>168</v>
      </c>
      <c r="C13" s="4"/>
      <c r="D13" s="4"/>
      <c r="E13" s="4"/>
      <c r="F13" s="4"/>
      <c r="G13" s="4"/>
      <c r="H13" s="4"/>
      <c r="I13" s="4"/>
      <c r="J13" s="4"/>
      <c r="K13" s="4"/>
    </row>
    <row r="14" spans="1:11" x14ac:dyDescent="0.25">
      <c r="A14" s="3">
        <v>4</v>
      </c>
      <c r="B14" s="4" t="s">
        <v>169</v>
      </c>
      <c r="C14" s="4"/>
      <c r="D14" s="4"/>
      <c r="E14" s="4"/>
      <c r="F14" s="4"/>
      <c r="G14" s="4"/>
      <c r="H14" s="4"/>
      <c r="I14" s="4"/>
      <c r="J14" s="4"/>
      <c r="K14" s="4"/>
    </row>
    <row r="15" spans="1:11" x14ac:dyDescent="0.25">
      <c r="A15" s="3">
        <v>5</v>
      </c>
      <c r="B15" s="4" t="s">
        <v>170</v>
      </c>
      <c r="C15" s="4"/>
      <c r="D15" s="4"/>
      <c r="E15" s="4"/>
      <c r="F15" s="4"/>
      <c r="G15" s="4"/>
      <c r="H15" s="4"/>
      <c r="I15" s="4"/>
      <c r="J15" s="4"/>
      <c r="K15" s="4"/>
    </row>
    <row r="16" spans="1:11" x14ac:dyDescent="0.25">
      <c r="A16" s="3">
        <v>6</v>
      </c>
      <c r="B16" s="4" t="s">
        <v>171</v>
      </c>
      <c r="C16" s="4"/>
      <c r="D16" s="4"/>
      <c r="E16" s="4"/>
      <c r="F16" s="4"/>
      <c r="G16" s="4"/>
      <c r="H16" s="4"/>
      <c r="I16" s="4"/>
      <c r="J16" s="4"/>
      <c r="K16" s="4"/>
    </row>
    <row r="17" spans="1:11" x14ac:dyDescent="0.25">
      <c r="A17" s="3">
        <v>7</v>
      </c>
      <c r="B17" s="4" t="s">
        <v>172</v>
      </c>
      <c r="C17" s="4"/>
      <c r="D17" s="4"/>
      <c r="E17" s="4"/>
      <c r="F17" s="4"/>
      <c r="G17" s="4"/>
      <c r="H17" s="4"/>
      <c r="I17" s="4"/>
      <c r="J17" s="4"/>
      <c r="K17" s="4"/>
    </row>
    <row r="18" spans="1:11" x14ac:dyDescent="0.25">
      <c r="A18" s="3">
        <v>8</v>
      </c>
      <c r="B18" s="4" t="s">
        <v>173</v>
      </c>
      <c r="C18" s="4"/>
      <c r="D18" s="4"/>
      <c r="E18" s="4"/>
      <c r="F18" s="4"/>
      <c r="G18" s="4"/>
      <c r="H18" s="4"/>
      <c r="I18" s="4"/>
      <c r="J18" s="4"/>
      <c r="K18" s="4"/>
    </row>
    <row r="19" spans="1:11" x14ac:dyDescent="0.25">
      <c r="A19" s="3">
        <v>9</v>
      </c>
      <c r="B19" s="4" t="s">
        <v>174</v>
      </c>
      <c r="C19" s="4"/>
      <c r="D19" s="4"/>
      <c r="E19" s="4"/>
      <c r="F19" s="4"/>
      <c r="G19" s="4"/>
      <c r="H19" s="4"/>
      <c r="I19" s="4"/>
      <c r="J19" s="4"/>
      <c r="K19" s="4"/>
    </row>
    <row r="20" spans="1:11" x14ac:dyDescent="0.25">
      <c r="A20" s="3">
        <v>10</v>
      </c>
      <c r="B20" s="4" t="s">
        <v>175</v>
      </c>
      <c r="C20" s="4"/>
      <c r="D20" s="4"/>
      <c r="E20" s="4"/>
      <c r="F20" s="4"/>
      <c r="G20" s="4"/>
      <c r="H20" s="4"/>
      <c r="I20" s="4"/>
      <c r="J20" s="4"/>
      <c r="K20" s="4"/>
    </row>
    <row r="21" spans="1:11" x14ac:dyDescent="0.25">
      <c r="A21" s="3">
        <v>11</v>
      </c>
      <c r="B21" s="4" t="s">
        <v>176</v>
      </c>
      <c r="C21" s="4"/>
      <c r="D21" s="4"/>
      <c r="E21" s="4"/>
      <c r="F21" s="4"/>
      <c r="G21" s="4"/>
      <c r="H21" s="4"/>
      <c r="I21" s="4"/>
      <c r="J21" s="4"/>
      <c r="K21" s="4"/>
    </row>
    <row r="22" spans="1:11" x14ac:dyDescent="0.25">
      <c r="A22" s="3">
        <v>12</v>
      </c>
      <c r="B22" s="4" t="s">
        <v>177</v>
      </c>
      <c r="C22" s="4"/>
      <c r="D22" s="4"/>
      <c r="E22" s="4"/>
      <c r="F22" s="4"/>
      <c r="G22" s="4"/>
      <c r="H22" s="4"/>
      <c r="I22" s="4"/>
      <c r="J22" s="4"/>
      <c r="K22" s="4"/>
    </row>
    <row r="23" spans="1:11" x14ac:dyDescent="0.25">
      <c r="A23" s="16"/>
    </row>
  </sheetData>
  <mergeCells count="14">
    <mergeCell ref="A2:K2"/>
    <mergeCell ref="A1:K1"/>
    <mergeCell ref="A3:K3"/>
    <mergeCell ref="I4:K4"/>
    <mergeCell ref="A5:A8"/>
    <mergeCell ref="B5:B8"/>
    <mergeCell ref="C5:C8"/>
    <mergeCell ref="D5:K5"/>
    <mergeCell ref="D6:G6"/>
    <mergeCell ref="H6:K6"/>
    <mergeCell ref="D7:D8"/>
    <mergeCell ref="E7:G7"/>
    <mergeCell ref="H7:H8"/>
    <mergeCell ref="I7:K7"/>
  </mergeCell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39997558519241921"/>
  </sheetPr>
  <dimension ref="A1:M27"/>
  <sheetViews>
    <sheetView workbookViewId="0">
      <selection activeCell="E33" sqref="E33"/>
    </sheetView>
  </sheetViews>
  <sheetFormatPr defaultColWidth="9.140625" defaultRowHeight="15" x14ac:dyDescent="0.25"/>
  <cols>
    <col min="1" max="1" width="6" style="1" customWidth="1"/>
    <col min="2" max="2" width="37.140625" style="1" customWidth="1"/>
    <col min="3" max="16384" width="9.140625" style="1"/>
  </cols>
  <sheetData>
    <row r="1" spans="1:13" x14ac:dyDescent="0.25">
      <c r="A1" s="422" t="s">
        <v>178</v>
      </c>
      <c r="B1" s="422"/>
      <c r="C1" s="422"/>
      <c r="D1" s="422"/>
      <c r="E1" s="422"/>
      <c r="F1" s="422"/>
      <c r="G1" s="422"/>
      <c r="H1" s="422"/>
      <c r="I1" s="422"/>
      <c r="J1" s="422"/>
      <c r="K1" s="422"/>
      <c r="L1" s="422"/>
      <c r="M1" s="422"/>
    </row>
    <row r="2" spans="1:13" ht="41.25" customHeight="1" x14ac:dyDescent="0.25">
      <c r="A2" s="417" t="s">
        <v>179</v>
      </c>
      <c r="B2" s="417"/>
      <c r="C2" s="417"/>
      <c r="D2" s="417"/>
      <c r="E2" s="417"/>
      <c r="F2" s="417"/>
      <c r="G2" s="417"/>
      <c r="H2" s="417"/>
      <c r="I2" s="417"/>
      <c r="J2" s="417"/>
      <c r="K2" s="417"/>
      <c r="L2" s="417"/>
      <c r="M2" s="417"/>
    </row>
    <row r="3" spans="1:13" x14ac:dyDescent="0.25">
      <c r="A3" s="423" t="s">
        <v>126</v>
      </c>
      <c r="B3" s="423"/>
      <c r="C3" s="423"/>
      <c r="D3" s="423"/>
      <c r="E3" s="423"/>
      <c r="F3" s="423"/>
      <c r="G3" s="423"/>
      <c r="H3" s="423"/>
      <c r="I3" s="423"/>
      <c r="J3" s="423"/>
      <c r="K3" s="423"/>
      <c r="L3" s="423"/>
      <c r="M3" s="423"/>
    </row>
    <row r="4" spans="1:13" x14ac:dyDescent="0.25">
      <c r="K4" s="424" t="s">
        <v>56</v>
      </c>
      <c r="L4" s="424"/>
      <c r="M4" s="424"/>
    </row>
    <row r="5" spans="1:13" ht="23.25" customHeight="1" x14ac:dyDescent="0.25">
      <c r="A5" s="421" t="s">
        <v>3</v>
      </c>
      <c r="B5" s="421" t="s">
        <v>180</v>
      </c>
      <c r="C5" s="421" t="s">
        <v>181</v>
      </c>
      <c r="D5" s="421" t="s">
        <v>182</v>
      </c>
      <c r="E5" s="421" t="s">
        <v>183</v>
      </c>
      <c r="F5" s="421" t="s">
        <v>184</v>
      </c>
      <c r="G5" s="421"/>
      <c r="H5" s="421"/>
      <c r="I5" s="421" t="s">
        <v>185</v>
      </c>
      <c r="J5" s="421"/>
      <c r="K5" s="421" t="s">
        <v>186</v>
      </c>
      <c r="L5" s="421"/>
      <c r="M5" s="421" t="s">
        <v>129</v>
      </c>
    </row>
    <row r="6" spans="1:13" ht="36.75" customHeight="1" x14ac:dyDescent="0.25">
      <c r="A6" s="421"/>
      <c r="B6" s="421"/>
      <c r="C6" s="421"/>
      <c r="D6" s="421"/>
      <c r="E6" s="421"/>
      <c r="F6" s="421" t="s">
        <v>187</v>
      </c>
      <c r="G6" s="421" t="s">
        <v>188</v>
      </c>
      <c r="H6" s="421"/>
      <c r="I6" s="421"/>
      <c r="J6" s="421"/>
      <c r="K6" s="421"/>
      <c r="L6" s="421"/>
      <c r="M6" s="421"/>
    </row>
    <row r="7" spans="1:13" ht="71.25" x14ac:dyDescent="0.25">
      <c r="A7" s="421"/>
      <c r="B7" s="421"/>
      <c r="C7" s="421"/>
      <c r="D7" s="421"/>
      <c r="E7" s="421"/>
      <c r="F7" s="421"/>
      <c r="G7" s="2" t="s">
        <v>189</v>
      </c>
      <c r="H7" s="2" t="s">
        <v>190</v>
      </c>
      <c r="I7" s="2" t="s">
        <v>130</v>
      </c>
      <c r="J7" s="2" t="s">
        <v>190</v>
      </c>
      <c r="K7" s="2" t="s">
        <v>130</v>
      </c>
      <c r="L7" s="2" t="s">
        <v>190</v>
      </c>
      <c r="M7" s="421"/>
    </row>
    <row r="8" spans="1:13" x14ac:dyDescent="0.25">
      <c r="A8" s="2" t="s">
        <v>15</v>
      </c>
      <c r="B8" s="2" t="s">
        <v>16</v>
      </c>
      <c r="C8" s="2">
        <v>1</v>
      </c>
      <c r="D8" s="2">
        <v>2</v>
      </c>
      <c r="E8" s="2">
        <v>3</v>
      </c>
      <c r="F8" s="2">
        <v>4</v>
      </c>
      <c r="G8" s="2">
        <v>5</v>
      </c>
      <c r="H8" s="2">
        <v>6</v>
      </c>
      <c r="I8" s="2">
        <v>7</v>
      </c>
      <c r="J8" s="2">
        <v>8</v>
      </c>
      <c r="K8" s="2">
        <v>9</v>
      </c>
      <c r="L8" s="2">
        <v>10</v>
      </c>
      <c r="M8" s="2">
        <v>11</v>
      </c>
    </row>
    <row r="9" spans="1:13" x14ac:dyDescent="0.25">
      <c r="A9" s="2"/>
      <c r="B9" s="2" t="s">
        <v>130</v>
      </c>
      <c r="C9" s="2"/>
      <c r="D9" s="2"/>
      <c r="E9" s="2"/>
      <c r="F9" s="2"/>
      <c r="G9" s="2"/>
      <c r="H9" s="2"/>
      <c r="I9" s="2"/>
      <c r="J9" s="2"/>
      <c r="K9" s="2"/>
      <c r="L9" s="2"/>
      <c r="M9" s="2"/>
    </row>
    <row r="10" spans="1:13" x14ac:dyDescent="0.25">
      <c r="A10" s="2" t="s">
        <v>15</v>
      </c>
      <c r="B10" s="431" t="s">
        <v>191</v>
      </c>
      <c r="C10" s="431"/>
      <c r="D10" s="431"/>
      <c r="E10" s="431"/>
      <c r="F10" s="3"/>
      <c r="G10" s="3"/>
      <c r="H10" s="3"/>
      <c r="I10" s="3"/>
      <c r="J10" s="3"/>
      <c r="K10" s="3"/>
      <c r="L10" s="3"/>
      <c r="M10" s="3"/>
    </row>
    <row r="11" spans="1:13" x14ac:dyDescent="0.25">
      <c r="A11" s="2" t="s">
        <v>83</v>
      </c>
      <c r="B11" s="431" t="s">
        <v>192</v>
      </c>
      <c r="C11" s="431"/>
      <c r="D11" s="431"/>
      <c r="E11" s="3"/>
      <c r="F11" s="3"/>
      <c r="G11" s="3"/>
      <c r="H11" s="3"/>
      <c r="I11" s="3"/>
      <c r="J11" s="3"/>
      <c r="K11" s="3"/>
      <c r="L11" s="3"/>
      <c r="M11" s="3"/>
    </row>
    <row r="12" spans="1:13" x14ac:dyDescent="0.25">
      <c r="A12" s="2">
        <v>1</v>
      </c>
      <c r="B12" s="14" t="s">
        <v>193</v>
      </c>
      <c r="C12" s="3"/>
      <c r="D12" s="3"/>
      <c r="E12" s="3"/>
      <c r="F12" s="3"/>
      <c r="G12" s="3"/>
      <c r="H12" s="3"/>
      <c r="I12" s="3"/>
      <c r="J12" s="3"/>
      <c r="K12" s="3"/>
      <c r="L12" s="3"/>
      <c r="M12" s="3"/>
    </row>
    <row r="13" spans="1:13" x14ac:dyDescent="0.25">
      <c r="A13" s="3" t="s">
        <v>22</v>
      </c>
      <c r="B13" s="4" t="s">
        <v>194</v>
      </c>
      <c r="C13" s="3"/>
      <c r="D13" s="3"/>
      <c r="E13" s="3"/>
      <c r="F13" s="3"/>
      <c r="G13" s="3"/>
      <c r="H13" s="3"/>
      <c r="I13" s="3"/>
      <c r="J13" s="3"/>
      <c r="K13" s="3"/>
      <c r="L13" s="3"/>
      <c r="M13" s="3"/>
    </row>
    <row r="14" spans="1:13" x14ac:dyDescent="0.25">
      <c r="A14" s="3" t="s">
        <v>22</v>
      </c>
      <c r="B14" s="4" t="s">
        <v>177</v>
      </c>
      <c r="C14" s="3"/>
      <c r="D14" s="3"/>
      <c r="E14" s="3"/>
      <c r="F14" s="3"/>
      <c r="G14" s="3"/>
      <c r="H14" s="3"/>
      <c r="I14" s="3"/>
      <c r="J14" s="3"/>
      <c r="K14" s="3"/>
      <c r="L14" s="3"/>
      <c r="M14" s="3"/>
    </row>
    <row r="15" spans="1:13" x14ac:dyDescent="0.25">
      <c r="A15" s="2">
        <v>2</v>
      </c>
      <c r="B15" s="14" t="s">
        <v>195</v>
      </c>
      <c r="C15" s="3"/>
      <c r="D15" s="3"/>
      <c r="E15" s="3"/>
      <c r="F15" s="3"/>
      <c r="G15" s="3"/>
      <c r="H15" s="3"/>
      <c r="I15" s="3"/>
      <c r="J15" s="3"/>
      <c r="K15" s="3"/>
      <c r="L15" s="3"/>
      <c r="M15" s="3"/>
    </row>
    <row r="16" spans="1:13" x14ac:dyDescent="0.25">
      <c r="A16" s="2" t="s">
        <v>144</v>
      </c>
      <c r="B16" s="431" t="s">
        <v>196</v>
      </c>
      <c r="C16" s="431"/>
      <c r="D16" s="431"/>
      <c r="E16" s="431"/>
      <c r="F16" s="431"/>
      <c r="G16" s="431"/>
      <c r="H16" s="3"/>
      <c r="I16" s="3"/>
      <c r="J16" s="3"/>
      <c r="K16" s="3"/>
      <c r="L16" s="3"/>
      <c r="M16" s="3"/>
    </row>
    <row r="17" spans="1:13" x14ac:dyDescent="0.25">
      <c r="A17" s="3" t="s">
        <v>22</v>
      </c>
      <c r="B17" s="4" t="s">
        <v>197</v>
      </c>
      <c r="C17" s="3"/>
      <c r="D17" s="3"/>
      <c r="E17" s="3"/>
      <c r="F17" s="3"/>
      <c r="G17" s="3"/>
      <c r="H17" s="3"/>
      <c r="I17" s="3"/>
      <c r="J17" s="3"/>
      <c r="K17" s="3"/>
      <c r="L17" s="3"/>
      <c r="M17" s="3"/>
    </row>
    <row r="18" spans="1:13" x14ac:dyDescent="0.25">
      <c r="A18" s="3" t="s">
        <v>22</v>
      </c>
      <c r="B18" s="4" t="s">
        <v>198</v>
      </c>
      <c r="C18" s="3"/>
      <c r="D18" s="3"/>
      <c r="E18" s="3"/>
      <c r="F18" s="3"/>
      <c r="G18" s="3"/>
      <c r="H18" s="3"/>
      <c r="I18" s="3"/>
      <c r="J18" s="3"/>
      <c r="K18" s="3"/>
      <c r="L18" s="3"/>
      <c r="M18" s="3"/>
    </row>
    <row r="19" spans="1:13" x14ac:dyDescent="0.25">
      <c r="A19" s="2" t="s">
        <v>146</v>
      </c>
      <c r="B19" s="431" t="s">
        <v>199</v>
      </c>
      <c r="C19" s="431"/>
      <c r="D19" s="431"/>
      <c r="E19" s="431"/>
      <c r="F19" s="3"/>
      <c r="G19" s="3"/>
      <c r="H19" s="3"/>
      <c r="I19" s="3"/>
      <c r="J19" s="3"/>
      <c r="K19" s="3"/>
      <c r="L19" s="3"/>
      <c r="M19" s="3"/>
    </row>
    <row r="20" spans="1:13" x14ac:dyDescent="0.25">
      <c r="A20" s="3" t="s">
        <v>22</v>
      </c>
      <c r="B20" s="4" t="s">
        <v>200</v>
      </c>
      <c r="C20" s="3"/>
      <c r="D20" s="3"/>
      <c r="E20" s="3"/>
      <c r="F20" s="3"/>
      <c r="G20" s="3"/>
      <c r="H20" s="3"/>
      <c r="I20" s="3"/>
      <c r="J20" s="3"/>
      <c r="K20" s="3"/>
      <c r="L20" s="3"/>
      <c r="M20" s="3"/>
    </row>
    <row r="21" spans="1:13" x14ac:dyDescent="0.25">
      <c r="A21" s="3" t="s">
        <v>22</v>
      </c>
      <c r="B21" s="4" t="s">
        <v>201</v>
      </c>
      <c r="C21" s="3"/>
      <c r="D21" s="3"/>
      <c r="E21" s="3"/>
      <c r="F21" s="3"/>
      <c r="G21" s="3"/>
      <c r="H21" s="3"/>
      <c r="I21" s="3"/>
      <c r="J21" s="3"/>
      <c r="K21" s="3"/>
      <c r="L21" s="3"/>
      <c r="M21" s="3"/>
    </row>
    <row r="22" spans="1:13" x14ac:dyDescent="0.25">
      <c r="A22" s="2" t="s">
        <v>70</v>
      </c>
      <c r="B22" s="431" t="s">
        <v>192</v>
      </c>
      <c r="C22" s="431"/>
      <c r="D22" s="431"/>
      <c r="E22" s="3"/>
      <c r="F22" s="3"/>
      <c r="G22" s="3"/>
      <c r="H22" s="3"/>
      <c r="I22" s="3"/>
      <c r="J22" s="3"/>
      <c r="K22" s="3"/>
      <c r="L22" s="3"/>
      <c r="M22" s="3"/>
    </row>
    <row r="23" spans="1:13" x14ac:dyDescent="0.25">
      <c r="A23" s="3"/>
      <c r="B23" s="4" t="s">
        <v>202</v>
      </c>
      <c r="C23" s="3"/>
      <c r="D23" s="3"/>
      <c r="E23" s="3"/>
      <c r="F23" s="3"/>
      <c r="G23" s="3"/>
      <c r="H23" s="3"/>
      <c r="I23" s="3"/>
      <c r="J23" s="3"/>
      <c r="K23" s="3"/>
      <c r="L23" s="3"/>
      <c r="M23" s="3"/>
    </row>
    <row r="24" spans="1:13" x14ac:dyDescent="0.25">
      <c r="A24" s="2" t="s">
        <v>16</v>
      </c>
      <c r="B24" s="431" t="s">
        <v>203</v>
      </c>
      <c r="C24" s="431"/>
      <c r="D24" s="431"/>
      <c r="E24" s="431"/>
      <c r="F24" s="3"/>
      <c r="G24" s="3"/>
      <c r="H24" s="3"/>
      <c r="I24" s="3"/>
      <c r="J24" s="3"/>
      <c r="K24" s="3"/>
      <c r="L24" s="3"/>
      <c r="M24" s="3"/>
    </row>
    <row r="25" spans="1:13" x14ac:dyDescent="0.25">
      <c r="A25" s="3"/>
      <c r="B25" s="4" t="s">
        <v>204</v>
      </c>
      <c r="C25" s="3"/>
      <c r="D25" s="3"/>
      <c r="E25" s="3"/>
      <c r="F25" s="3"/>
      <c r="G25" s="3"/>
      <c r="H25" s="3"/>
      <c r="I25" s="3"/>
      <c r="J25" s="3"/>
      <c r="K25" s="3"/>
      <c r="L25" s="3"/>
      <c r="M25" s="3"/>
    </row>
    <row r="26" spans="1:13" x14ac:dyDescent="0.25">
      <c r="A26" s="3" t="s">
        <v>22</v>
      </c>
      <c r="B26" s="4" t="s">
        <v>205</v>
      </c>
      <c r="C26" s="3"/>
      <c r="D26" s="3"/>
      <c r="E26" s="3"/>
      <c r="F26" s="3"/>
      <c r="G26" s="3"/>
      <c r="H26" s="3"/>
      <c r="I26" s="3"/>
      <c r="J26" s="3"/>
      <c r="K26" s="3"/>
      <c r="L26" s="3"/>
      <c r="M26" s="3"/>
    </row>
    <row r="27" spans="1:13" x14ac:dyDescent="0.25">
      <c r="A27" s="16"/>
    </row>
  </sheetData>
  <mergeCells count="21">
    <mergeCell ref="B11:D11"/>
    <mergeCell ref="B16:G16"/>
    <mergeCell ref="B19:E19"/>
    <mergeCell ref="B22:D22"/>
    <mergeCell ref="B24:E24"/>
    <mergeCell ref="A1:M1"/>
    <mergeCell ref="A2:M2"/>
    <mergeCell ref="A3:M3"/>
    <mergeCell ref="K4:M4"/>
    <mergeCell ref="I5:J6"/>
    <mergeCell ref="K5:L6"/>
    <mergeCell ref="M5:M7"/>
    <mergeCell ref="F6:F7"/>
    <mergeCell ref="G6:H6"/>
    <mergeCell ref="F5:H5"/>
    <mergeCell ref="B10:E10"/>
    <mergeCell ref="A5:A7"/>
    <mergeCell ref="B5:B7"/>
    <mergeCell ref="C5:C7"/>
    <mergeCell ref="D5:D7"/>
    <mergeCell ref="E5:E7"/>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39997558519241921"/>
  </sheetPr>
  <dimension ref="A1:U30"/>
  <sheetViews>
    <sheetView workbookViewId="0">
      <selection activeCell="E33" sqref="E33"/>
    </sheetView>
  </sheetViews>
  <sheetFormatPr defaultColWidth="9.140625" defaultRowHeight="15" x14ac:dyDescent="0.25"/>
  <cols>
    <col min="1" max="1" width="5.85546875" style="1" customWidth="1"/>
    <col min="2" max="2" width="45" style="1" customWidth="1"/>
    <col min="3" max="16384" width="9.140625" style="1"/>
  </cols>
  <sheetData>
    <row r="1" spans="1:21" x14ac:dyDescent="0.25">
      <c r="A1" s="422" t="s">
        <v>206</v>
      </c>
      <c r="B1" s="422"/>
      <c r="C1" s="422"/>
      <c r="D1" s="422"/>
      <c r="E1" s="422"/>
      <c r="F1" s="422"/>
      <c r="G1" s="422"/>
      <c r="H1" s="422"/>
      <c r="I1" s="422"/>
      <c r="J1" s="422"/>
      <c r="K1" s="422"/>
      <c r="L1" s="422"/>
      <c r="M1" s="422"/>
      <c r="N1" s="422"/>
      <c r="O1" s="422"/>
      <c r="P1" s="422"/>
      <c r="Q1" s="422"/>
      <c r="R1" s="422"/>
      <c r="S1" s="422"/>
      <c r="T1" s="422"/>
      <c r="U1" s="422"/>
    </row>
    <row r="2" spans="1:21" ht="53.25" customHeight="1" x14ac:dyDescent="0.25">
      <c r="A2" s="417" t="s">
        <v>207</v>
      </c>
      <c r="B2" s="417"/>
      <c r="C2" s="417"/>
      <c r="D2" s="417"/>
      <c r="E2" s="417"/>
      <c r="F2" s="417"/>
      <c r="G2" s="417"/>
      <c r="H2" s="417"/>
      <c r="I2" s="417"/>
      <c r="J2" s="417"/>
      <c r="K2" s="417"/>
      <c r="L2" s="417"/>
      <c r="M2" s="417"/>
      <c r="N2" s="417"/>
      <c r="O2" s="417"/>
      <c r="P2" s="417"/>
      <c r="Q2" s="417"/>
      <c r="R2" s="417"/>
      <c r="S2" s="417"/>
      <c r="T2" s="417"/>
      <c r="U2" s="417"/>
    </row>
    <row r="3" spans="1:21" x14ac:dyDescent="0.25">
      <c r="A3" s="423" t="s">
        <v>126</v>
      </c>
      <c r="B3" s="423"/>
      <c r="C3" s="423"/>
      <c r="D3" s="423"/>
      <c r="E3" s="423"/>
      <c r="F3" s="423"/>
      <c r="G3" s="423"/>
      <c r="H3" s="423"/>
      <c r="I3" s="423"/>
      <c r="J3" s="423"/>
      <c r="K3" s="423"/>
      <c r="L3" s="423"/>
      <c r="M3" s="423"/>
      <c r="N3" s="423"/>
      <c r="O3" s="423"/>
      <c r="P3" s="423"/>
      <c r="Q3" s="423"/>
      <c r="R3" s="423"/>
      <c r="S3" s="423"/>
      <c r="T3" s="423"/>
      <c r="U3" s="423"/>
    </row>
    <row r="4" spans="1:21" x14ac:dyDescent="0.25">
      <c r="S4" s="424" t="s">
        <v>56</v>
      </c>
      <c r="T4" s="424"/>
      <c r="U4" s="424"/>
    </row>
    <row r="5" spans="1:21" x14ac:dyDescent="0.25">
      <c r="A5" s="432" t="s">
        <v>3</v>
      </c>
      <c r="B5" s="432" t="s">
        <v>180</v>
      </c>
      <c r="C5" s="432" t="s">
        <v>181</v>
      </c>
      <c r="D5" s="432" t="s">
        <v>182</v>
      </c>
      <c r="E5" s="432" t="s">
        <v>183</v>
      </c>
      <c r="F5" s="432" t="s">
        <v>184</v>
      </c>
      <c r="G5" s="432"/>
      <c r="H5" s="432"/>
      <c r="I5" s="432"/>
      <c r="J5" s="432"/>
      <c r="K5" s="432"/>
      <c r="L5" s="432"/>
      <c r="M5" s="432" t="s">
        <v>208</v>
      </c>
      <c r="N5" s="432"/>
      <c r="O5" s="432"/>
      <c r="P5" s="432"/>
      <c r="Q5" s="432" t="s">
        <v>209</v>
      </c>
      <c r="R5" s="432"/>
      <c r="S5" s="432"/>
      <c r="T5" s="432"/>
      <c r="U5" s="432" t="s">
        <v>129</v>
      </c>
    </row>
    <row r="6" spans="1:21" x14ac:dyDescent="0.25">
      <c r="A6" s="432"/>
      <c r="B6" s="432"/>
      <c r="C6" s="432"/>
      <c r="D6" s="432"/>
      <c r="E6" s="432"/>
      <c r="F6" s="432" t="s">
        <v>210</v>
      </c>
      <c r="G6" s="432" t="s">
        <v>188</v>
      </c>
      <c r="H6" s="432"/>
      <c r="I6" s="432"/>
      <c r="J6" s="432"/>
      <c r="K6" s="432"/>
      <c r="L6" s="432"/>
      <c r="M6" s="432" t="s">
        <v>189</v>
      </c>
      <c r="N6" s="432" t="s">
        <v>162</v>
      </c>
      <c r="O6" s="432"/>
      <c r="P6" s="432"/>
      <c r="Q6" s="432" t="s">
        <v>189</v>
      </c>
      <c r="R6" s="432" t="s">
        <v>162</v>
      </c>
      <c r="S6" s="432"/>
      <c r="T6" s="432"/>
      <c r="U6" s="432"/>
    </row>
    <row r="7" spans="1:21" x14ac:dyDescent="0.25">
      <c r="A7" s="432"/>
      <c r="B7" s="432"/>
      <c r="C7" s="432"/>
      <c r="D7" s="432"/>
      <c r="E7" s="432"/>
      <c r="F7" s="432"/>
      <c r="G7" s="432" t="s">
        <v>189</v>
      </c>
      <c r="H7" s="432" t="s">
        <v>188</v>
      </c>
      <c r="I7" s="432"/>
      <c r="J7" s="432"/>
      <c r="K7" s="432"/>
      <c r="L7" s="432"/>
      <c r="M7" s="432"/>
      <c r="N7" s="432" t="s">
        <v>211</v>
      </c>
      <c r="O7" s="432"/>
      <c r="P7" s="432" t="s">
        <v>212</v>
      </c>
      <c r="Q7" s="432"/>
      <c r="R7" s="432" t="s">
        <v>211</v>
      </c>
      <c r="S7" s="432"/>
      <c r="T7" s="432" t="s">
        <v>212</v>
      </c>
      <c r="U7" s="432"/>
    </row>
    <row r="8" spans="1:21" x14ac:dyDescent="0.25">
      <c r="A8" s="432"/>
      <c r="B8" s="432"/>
      <c r="C8" s="432"/>
      <c r="D8" s="432"/>
      <c r="E8" s="432"/>
      <c r="F8" s="432"/>
      <c r="G8" s="432"/>
      <c r="H8" s="432" t="s">
        <v>211</v>
      </c>
      <c r="I8" s="432"/>
      <c r="J8" s="432"/>
      <c r="K8" s="432" t="s">
        <v>213</v>
      </c>
      <c r="L8" s="432"/>
      <c r="M8" s="432"/>
      <c r="N8" s="432" t="s">
        <v>130</v>
      </c>
      <c r="O8" s="432" t="s">
        <v>214</v>
      </c>
      <c r="P8" s="432"/>
      <c r="Q8" s="432"/>
      <c r="R8" s="432" t="s">
        <v>130</v>
      </c>
      <c r="S8" s="432" t="s">
        <v>214</v>
      </c>
      <c r="T8" s="432"/>
      <c r="U8" s="432"/>
    </row>
    <row r="9" spans="1:21" x14ac:dyDescent="0.25">
      <c r="A9" s="432"/>
      <c r="B9" s="432"/>
      <c r="C9" s="432"/>
      <c r="D9" s="432"/>
      <c r="E9" s="432"/>
      <c r="F9" s="432"/>
      <c r="G9" s="432"/>
      <c r="H9" s="432" t="s">
        <v>130</v>
      </c>
      <c r="I9" s="432" t="s">
        <v>162</v>
      </c>
      <c r="J9" s="432"/>
      <c r="K9" s="432" t="s">
        <v>215</v>
      </c>
      <c r="L9" s="432" t="s">
        <v>216</v>
      </c>
      <c r="M9" s="432"/>
      <c r="N9" s="432"/>
      <c r="O9" s="432"/>
      <c r="P9" s="432"/>
      <c r="Q9" s="432"/>
      <c r="R9" s="432"/>
      <c r="S9" s="432"/>
      <c r="T9" s="432"/>
      <c r="U9" s="432"/>
    </row>
    <row r="10" spans="1:21" ht="57" x14ac:dyDescent="0.25">
      <c r="A10" s="432"/>
      <c r="B10" s="432"/>
      <c r="C10" s="432"/>
      <c r="D10" s="432"/>
      <c r="E10" s="432"/>
      <c r="F10" s="432"/>
      <c r="G10" s="432"/>
      <c r="H10" s="432"/>
      <c r="I10" s="17" t="s">
        <v>217</v>
      </c>
      <c r="J10" s="17" t="s">
        <v>218</v>
      </c>
      <c r="K10" s="432"/>
      <c r="L10" s="432"/>
      <c r="M10" s="432"/>
      <c r="N10" s="432"/>
      <c r="O10" s="432"/>
      <c r="P10" s="432"/>
      <c r="Q10" s="432"/>
      <c r="R10" s="432"/>
      <c r="S10" s="432"/>
      <c r="T10" s="432"/>
      <c r="U10" s="432"/>
    </row>
    <row r="11" spans="1:21" x14ac:dyDescent="0.25">
      <c r="A11" s="17" t="s">
        <v>15</v>
      </c>
      <c r="B11" s="17" t="s">
        <v>16</v>
      </c>
      <c r="C11" s="17">
        <v>1</v>
      </c>
      <c r="D11" s="17">
        <v>2</v>
      </c>
      <c r="E11" s="17">
        <v>3</v>
      </c>
      <c r="F11" s="17">
        <v>4</v>
      </c>
      <c r="G11" s="17">
        <v>5</v>
      </c>
      <c r="H11" s="17">
        <v>6</v>
      </c>
      <c r="I11" s="17">
        <v>7</v>
      </c>
      <c r="J11" s="17">
        <v>8</v>
      </c>
      <c r="K11" s="17">
        <v>9</v>
      </c>
      <c r="L11" s="17">
        <v>10</v>
      </c>
      <c r="M11" s="17">
        <v>11</v>
      </c>
      <c r="N11" s="17">
        <v>12</v>
      </c>
      <c r="O11" s="17">
        <v>13</v>
      </c>
      <c r="P11" s="17">
        <v>14</v>
      </c>
      <c r="Q11" s="17">
        <v>15</v>
      </c>
      <c r="R11" s="17">
        <v>16</v>
      </c>
      <c r="S11" s="17">
        <v>17</v>
      </c>
      <c r="T11" s="17">
        <v>18</v>
      </c>
      <c r="U11" s="17">
        <v>19</v>
      </c>
    </row>
    <row r="12" spans="1:21" x14ac:dyDescent="0.25">
      <c r="A12" s="17"/>
      <c r="B12" s="17" t="s">
        <v>130</v>
      </c>
      <c r="C12" s="17"/>
      <c r="D12" s="17"/>
      <c r="E12" s="17"/>
      <c r="F12" s="17"/>
      <c r="G12" s="18"/>
      <c r="H12" s="18"/>
      <c r="I12" s="18"/>
      <c r="J12" s="18"/>
      <c r="K12" s="18"/>
      <c r="L12" s="18"/>
      <c r="M12" s="18"/>
      <c r="N12" s="18"/>
      <c r="O12" s="18"/>
      <c r="P12" s="18"/>
      <c r="Q12" s="18"/>
      <c r="R12" s="18"/>
      <c r="S12" s="18"/>
      <c r="T12" s="18"/>
      <c r="U12" s="18"/>
    </row>
    <row r="13" spans="1:21" x14ac:dyDescent="0.25">
      <c r="A13" s="17" t="s">
        <v>15</v>
      </c>
      <c r="B13" s="433" t="s">
        <v>219</v>
      </c>
      <c r="C13" s="433"/>
      <c r="D13" s="433"/>
      <c r="E13" s="433"/>
      <c r="F13" s="433"/>
      <c r="G13" s="18"/>
      <c r="H13" s="18"/>
      <c r="I13" s="18"/>
      <c r="J13" s="18"/>
      <c r="K13" s="18"/>
      <c r="L13" s="18"/>
      <c r="M13" s="18"/>
      <c r="N13" s="18"/>
      <c r="O13" s="18"/>
      <c r="P13" s="18"/>
      <c r="Q13" s="18"/>
      <c r="R13" s="18"/>
      <c r="S13" s="18"/>
      <c r="T13" s="18"/>
      <c r="U13" s="18"/>
    </row>
    <row r="14" spans="1:21" x14ac:dyDescent="0.25">
      <c r="A14" s="17" t="s">
        <v>83</v>
      </c>
      <c r="B14" s="433" t="s">
        <v>220</v>
      </c>
      <c r="C14" s="433"/>
      <c r="D14" s="433"/>
      <c r="E14" s="433"/>
      <c r="F14" s="18"/>
      <c r="G14" s="18"/>
      <c r="H14" s="18"/>
      <c r="I14" s="18"/>
      <c r="J14" s="18"/>
      <c r="K14" s="18"/>
      <c r="L14" s="18"/>
      <c r="M14" s="18"/>
      <c r="N14" s="18"/>
      <c r="O14" s="18"/>
      <c r="P14" s="18"/>
      <c r="Q14" s="18"/>
      <c r="R14" s="18"/>
      <c r="S14" s="18"/>
      <c r="T14" s="18"/>
      <c r="U14" s="18"/>
    </row>
    <row r="15" spans="1:21" x14ac:dyDescent="0.25">
      <c r="A15" s="17">
        <v>1</v>
      </c>
      <c r="B15" s="19" t="s">
        <v>193</v>
      </c>
      <c r="C15" s="18"/>
      <c r="D15" s="18"/>
      <c r="E15" s="18"/>
      <c r="F15" s="18"/>
      <c r="G15" s="18"/>
      <c r="H15" s="18"/>
      <c r="I15" s="18"/>
      <c r="J15" s="18"/>
      <c r="K15" s="18"/>
      <c r="L15" s="18"/>
      <c r="M15" s="18"/>
      <c r="N15" s="18"/>
      <c r="O15" s="18"/>
      <c r="P15" s="18"/>
      <c r="Q15" s="18"/>
      <c r="R15" s="18"/>
      <c r="S15" s="18"/>
      <c r="T15" s="18"/>
      <c r="U15" s="18"/>
    </row>
    <row r="16" spans="1:21" x14ac:dyDescent="0.25">
      <c r="A16" s="18" t="s">
        <v>22</v>
      </c>
      <c r="B16" s="20" t="s">
        <v>221</v>
      </c>
      <c r="C16" s="18"/>
      <c r="D16" s="18"/>
      <c r="E16" s="18"/>
      <c r="F16" s="18"/>
      <c r="G16" s="18"/>
      <c r="H16" s="18"/>
      <c r="I16" s="18"/>
      <c r="J16" s="18"/>
      <c r="K16" s="18"/>
      <c r="L16" s="18"/>
      <c r="M16" s="18"/>
      <c r="N16" s="18"/>
      <c r="O16" s="18"/>
      <c r="P16" s="18"/>
      <c r="Q16" s="18"/>
      <c r="R16" s="18"/>
      <c r="S16" s="18"/>
      <c r="T16" s="18"/>
      <c r="U16" s="18"/>
    </row>
    <row r="17" spans="1:21" x14ac:dyDescent="0.25">
      <c r="A17" s="18" t="s">
        <v>22</v>
      </c>
      <c r="B17" s="20" t="s">
        <v>201</v>
      </c>
      <c r="C17" s="18"/>
      <c r="D17" s="18"/>
      <c r="E17" s="18"/>
      <c r="F17" s="18"/>
      <c r="G17" s="18"/>
      <c r="H17" s="18"/>
      <c r="I17" s="18"/>
      <c r="J17" s="18"/>
      <c r="K17" s="18"/>
      <c r="L17" s="18"/>
      <c r="M17" s="18"/>
      <c r="N17" s="18"/>
      <c r="O17" s="18"/>
      <c r="P17" s="18"/>
      <c r="Q17" s="18"/>
      <c r="R17" s="18"/>
      <c r="S17" s="18"/>
      <c r="T17" s="18"/>
      <c r="U17" s="18"/>
    </row>
    <row r="18" spans="1:21" x14ac:dyDescent="0.25">
      <c r="A18" s="17">
        <v>2</v>
      </c>
      <c r="B18" s="19" t="s">
        <v>195</v>
      </c>
      <c r="C18" s="18"/>
      <c r="D18" s="18"/>
      <c r="E18" s="18"/>
      <c r="F18" s="18"/>
      <c r="G18" s="18"/>
      <c r="H18" s="18"/>
      <c r="I18" s="18"/>
      <c r="J18" s="18"/>
      <c r="K18" s="18"/>
      <c r="L18" s="18"/>
      <c r="M18" s="18"/>
      <c r="N18" s="18"/>
      <c r="O18" s="18"/>
      <c r="P18" s="18"/>
      <c r="Q18" s="18"/>
      <c r="R18" s="18"/>
      <c r="S18" s="18"/>
      <c r="T18" s="18"/>
      <c r="U18" s="18"/>
    </row>
    <row r="19" spans="1:21" x14ac:dyDescent="0.25">
      <c r="A19" s="17" t="s">
        <v>144</v>
      </c>
      <c r="B19" s="433" t="s">
        <v>222</v>
      </c>
      <c r="C19" s="433"/>
      <c r="D19" s="433"/>
      <c r="E19" s="433"/>
      <c r="F19" s="433"/>
      <c r="G19" s="433"/>
      <c r="H19" s="433"/>
      <c r="I19" s="18"/>
      <c r="J19" s="18"/>
      <c r="K19" s="18"/>
      <c r="L19" s="18"/>
      <c r="M19" s="18"/>
      <c r="N19" s="18"/>
      <c r="O19" s="18"/>
      <c r="P19" s="18"/>
      <c r="Q19" s="18"/>
      <c r="R19" s="18"/>
      <c r="S19" s="18"/>
      <c r="T19" s="18"/>
      <c r="U19" s="18"/>
    </row>
    <row r="20" spans="1:21" x14ac:dyDescent="0.25">
      <c r="A20" s="18" t="s">
        <v>22</v>
      </c>
      <c r="B20" s="20" t="s">
        <v>197</v>
      </c>
      <c r="C20" s="18"/>
      <c r="D20" s="18"/>
      <c r="E20" s="18"/>
      <c r="F20" s="18"/>
      <c r="G20" s="18"/>
      <c r="H20" s="18"/>
      <c r="I20" s="18"/>
      <c r="J20" s="18"/>
      <c r="K20" s="18"/>
      <c r="L20" s="18"/>
      <c r="M20" s="18"/>
      <c r="N20" s="18"/>
      <c r="O20" s="18"/>
      <c r="P20" s="18"/>
      <c r="Q20" s="18"/>
      <c r="R20" s="18"/>
      <c r="S20" s="18"/>
      <c r="T20" s="18"/>
      <c r="U20" s="18"/>
    </row>
    <row r="21" spans="1:21" x14ac:dyDescent="0.25">
      <c r="A21" s="18" t="s">
        <v>22</v>
      </c>
      <c r="B21" s="20" t="s">
        <v>173</v>
      </c>
      <c r="C21" s="18"/>
      <c r="D21" s="18"/>
      <c r="E21" s="18"/>
      <c r="F21" s="18"/>
      <c r="G21" s="18"/>
      <c r="H21" s="18"/>
      <c r="I21" s="18"/>
      <c r="J21" s="18"/>
      <c r="K21" s="18"/>
      <c r="L21" s="18"/>
      <c r="M21" s="18"/>
      <c r="N21" s="18"/>
      <c r="O21" s="18"/>
      <c r="P21" s="18"/>
      <c r="Q21" s="18"/>
      <c r="R21" s="18"/>
      <c r="S21" s="18"/>
      <c r="T21" s="18"/>
      <c r="U21" s="18"/>
    </row>
    <row r="22" spans="1:21" x14ac:dyDescent="0.25">
      <c r="A22" s="17" t="s">
        <v>146</v>
      </c>
      <c r="B22" s="433" t="s">
        <v>199</v>
      </c>
      <c r="C22" s="433"/>
      <c r="D22" s="433"/>
      <c r="E22" s="433"/>
      <c r="F22" s="433"/>
      <c r="G22" s="18"/>
      <c r="H22" s="18"/>
      <c r="I22" s="18"/>
      <c r="J22" s="18"/>
      <c r="K22" s="18"/>
      <c r="L22" s="18"/>
      <c r="M22" s="18"/>
      <c r="N22" s="18"/>
      <c r="O22" s="18"/>
      <c r="P22" s="18"/>
      <c r="Q22" s="18"/>
      <c r="R22" s="18"/>
      <c r="S22" s="18"/>
      <c r="T22" s="18"/>
      <c r="U22" s="18"/>
    </row>
    <row r="23" spans="1:21" x14ac:dyDescent="0.25">
      <c r="A23" s="18" t="s">
        <v>22</v>
      </c>
      <c r="B23" s="20" t="s">
        <v>200</v>
      </c>
      <c r="C23" s="18"/>
      <c r="D23" s="18"/>
      <c r="E23" s="18"/>
      <c r="F23" s="18"/>
      <c r="G23" s="18"/>
      <c r="H23" s="18"/>
      <c r="I23" s="18"/>
      <c r="J23" s="18"/>
      <c r="K23" s="18"/>
      <c r="L23" s="18"/>
      <c r="M23" s="18"/>
      <c r="N23" s="18"/>
      <c r="O23" s="18"/>
      <c r="P23" s="18"/>
      <c r="Q23" s="18"/>
      <c r="R23" s="18"/>
      <c r="S23" s="18"/>
      <c r="T23" s="18"/>
      <c r="U23" s="18"/>
    </row>
    <row r="24" spans="1:21" x14ac:dyDescent="0.25">
      <c r="A24" s="18" t="s">
        <v>22</v>
      </c>
      <c r="B24" s="20" t="s">
        <v>223</v>
      </c>
      <c r="C24" s="18"/>
      <c r="D24" s="18"/>
      <c r="E24" s="18"/>
      <c r="F24" s="18"/>
      <c r="G24" s="18"/>
      <c r="H24" s="18"/>
      <c r="I24" s="18"/>
      <c r="J24" s="18"/>
      <c r="K24" s="18"/>
      <c r="L24" s="18"/>
      <c r="M24" s="18"/>
      <c r="N24" s="18"/>
      <c r="O24" s="18"/>
      <c r="P24" s="18"/>
      <c r="Q24" s="18"/>
      <c r="R24" s="18"/>
      <c r="S24" s="18"/>
      <c r="T24" s="18"/>
      <c r="U24" s="18"/>
    </row>
    <row r="25" spans="1:21" x14ac:dyDescent="0.25">
      <c r="A25" s="17" t="s">
        <v>70</v>
      </c>
      <c r="B25" s="433" t="s">
        <v>220</v>
      </c>
      <c r="C25" s="433"/>
      <c r="D25" s="433"/>
      <c r="E25" s="433"/>
      <c r="F25" s="18"/>
      <c r="G25" s="18"/>
      <c r="H25" s="18"/>
      <c r="I25" s="18"/>
      <c r="J25" s="18"/>
      <c r="K25" s="18"/>
      <c r="L25" s="18"/>
      <c r="M25" s="18"/>
      <c r="N25" s="18"/>
      <c r="O25" s="18"/>
      <c r="P25" s="18"/>
      <c r="Q25" s="18"/>
      <c r="R25" s="18"/>
      <c r="S25" s="18"/>
      <c r="T25" s="18"/>
      <c r="U25" s="18"/>
    </row>
    <row r="26" spans="1:21" x14ac:dyDescent="0.25">
      <c r="A26" s="18"/>
      <c r="B26" s="20" t="s">
        <v>202</v>
      </c>
      <c r="C26" s="18"/>
      <c r="D26" s="18"/>
      <c r="E26" s="18"/>
      <c r="F26" s="18"/>
      <c r="G26" s="18"/>
      <c r="H26" s="18"/>
      <c r="I26" s="18"/>
      <c r="J26" s="18"/>
      <c r="K26" s="18"/>
      <c r="L26" s="18"/>
      <c r="M26" s="18"/>
      <c r="N26" s="18"/>
      <c r="O26" s="18"/>
      <c r="P26" s="18"/>
      <c r="Q26" s="18"/>
      <c r="R26" s="18"/>
      <c r="S26" s="18"/>
      <c r="T26" s="18"/>
      <c r="U26" s="18"/>
    </row>
    <row r="27" spans="1:21" x14ac:dyDescent="0.25">
      <c r="A27" s="17" t="s">
        <v>16</v>
      </c>
      <c r="B27" s="433" t="s">
        <v>203</v>
      </c>
      <c r="C27" s="433"/>
      <c r="D27" s="433"/>
      <c r="E27" s="433"/>
      <c r="F27" s="18"/>
      <c r="G27" s="18"/>
      <c r="H27" s="18"/>
      <c r="I27" s="18"/>
      <c r="J27" s="18"/>
      <c r="K27" s="18"/>
      <c r="L27" s="18"/>
      <c r="M27" s="18"/>
      <c r="N27" s="18"/>
      <c r="O27" s="18"/>
      <c r="P27" s="18"/>
      <c r="Q27" s="18"/>
      <c r="R27" s="18"/>
      <c r="S27" s="18"/>
      <c r="T27" s="18"/>
      <c r="U27" s="18"/>
    </row>
    <row r="28" spans="1:21" x14ac:dyDescent="0.25">
      <c r="A28" s="18"/>
      <c r="B28" s="20" t="s">
        <v>204</v>
      </c>
      <c r="C28" s="18"/>
      <c r="D28" s="18"/>
      <c r="E28" s="18"/>
      <c r="F28" s="18"/>
      <c r="G28" s="18"/>
      <c r="H28" s="18"/>
      <c r="I28" s="18"/>
      <c r="J28" s="18"/>
      <c r="K28" s="18"/>
      <c r="L28" s="18"/>
      <c r="M28" s="18"/>
      <c r="N28" s="18"/>
      <c r="O28" s="18"/>
      <c r="P28" s="18"/>
      <c r="Q28" s="18"/>
      <c r="R28" s="18"/>
      <c r="S28" s="18"/>
      <c r="T28" s="18"/>
      <c r="U28" s="18"/>
    </row>
    <row r="29" spans="1:21" x14ac:dyDescent="0.25">
      <c r="A29" s="18" t="s">
        <v>22</v>
      </c>
      <c r="B29" s="20" t="s">
        <v>205</v>
      </c>
      <c r="C29" s="18"/>
      <c r="D29" s="18"/>
      <c r="E29" s="18"/>
      <c r="F29" s="18"/>
      <c r="G29" s="18"/>
      <c r="H29" s="18"/>
      <c r="I29" s="18"/>
      <c r="J29" s="18"/>
      <c r="K29" s="18"/>
      <c r="L29" s="18"/>
      <c r="M29" s="18"/>
      <c r="N29" s="18"/>
      <c r="O29" s="18"/>
      <c r="P29" s="18"/>
      <c r="Q29" s="18"/>
      <c r="R29" s="18"/>
      <c r="S29" s="18"/>
      <c r="T29" s="18"/>
      <c r="U29" s="18"/>
    </row>
    <row r="30" spans="1:21" x14ac:dyDescent="0.25">
      <c r="A30" s="16"/>
    </row>
  </sheetData>
  <mergeCells count="41">
    <mergeCell ref="A1:U1"/>
    <mergeCell ref="A2:U2"/>
    <mergeCell ref="A3:U3"/>
    <mergeCell ref="S4:U4"/>
    <mergeCell ref="L9:L10"/>
    <mergeCell ref="N7:O7"/>
    <mergeCell ref="P7:P10"/>
    <mergeCell ref="R7:S7"/>
    <mergeCell ref="T7:T10"/>
    <mergeCell ref="H8:J8"/>
    <mergeCell ref="N8:N10"/>
    <mergeCell ref="O8:O10"/>
    <mergeCell ref="R8:R10"/>
    <mergeCell ref="S8:S10"/>
    <mergeCell ref="M5:P5"/>
    <mergeCell ref="Q5:T5"/>
    <mergeCell ref="B27:E27"/>
    <mergeCell ref="B13:F13"/>
    <mergeCell ref="B14:E14"/>
    <mergeCell ref="B19:H19"/>
    <mergeCell ref="B22:F22"/>
    <mergeCell ref="B25:E25"/>
    <mergeCell ref="U5:U10"/>
    <mergeCell ref="F6:F10"/>
    <mergeCell ref="G6:L6"/>
    <mergeCell ref="M6:M10"/>
    <mergeCell ref="N6:P6"/>
    <mergeCell ref="Q6:Q10"/>
    <mergeCell ref="R6:T6"/>
    <mergeCell ref="G7:G10"/>
    <mergeCell ref="F5:L5"/>
    <mergeCell ref="H7:L7"/>
    <mergeCell ref="H9:H10"/>
    <mergeCell ref="I9:J9"/>
    <mergeCell ref="K9:K10"/>
    <mergeCell ref="K8:L8"/>
    <mergeCell ref="A5:A10"/>
    <mergeCell ref="B5:B10"/>
    <mergeCell ref="C5:C10"/>
    <mergeCell ref="D5:D10"/>
    <mergeCell ref="E5:E10"/>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sheetPr>
  <dimension ref="A1:I41"/>
  <sheetViews>
    <sheetView workbookViewId="0">
      <selection activeCell="E33" sqref="E33"/>
    </sheetView>
  </sheetViews>
  <sheetFormatPr defaultColWidth="9.140625" defaultRowHeight="15" x14ac:dyDescent="0.25"/>
  <cols>
    <col min="1" max="1" width="5.42578125" style="1" customWidth="1"/>
    <col min="2" max="2" width="45.7109375" style="1" customWidth="1"/>
    <col min="3" max="3" width="9.140625" style="1"/>
    <col min="4" max="4" width="8.7109375" style="1" customWidth="1"/>
    <col min="5" max="5" width="7" style="1" customWidth="1"/>
    <col min="6" max="7" width="8.28515625" style="1" customWidth="1"/>
    <col min="8" max="8" width="8.7109375" style="1" customWidth="1"/>
    <col min="9" max="16384" width="9.140625" style="1"/>
  </cols>
  <sheetData>
    <row r="1" spans="1:9" x14ac:dyDescent="0.25">
      <c r="A1" s="422" t="s">
        <v>224</v>
      </c>
      <c r="B1" s="422"/>
      <c r="C1" s="422"/>
      <c r="D1" s="422"/>
      <c r="E1" s="422"/>
      <c r="F1" s="422"/>
      <c r="G1" s="422"/>
      <c r="H1" s="422"/>
      <c r="I1" s="422"/>
    </row>
    <row r="2" spans="1:9" ht="18.75" x14ac:dyDescent="0.25">
      <c r="A2" s="417" t="s">
        <v>225</v>
      </c>
      <c r="B2" s="417"/>
      <c r="C2" s="417"/>
      <c r="D2" s="417"/>
      <c r="E2" s="417"/>
      <c r="F2" s="417"/>
      <c r="G2" s="417"/>
      <c r="H2" s="417"/>
      <c r="I2" s="417"/>
    </row>
    <row r="3" spans="1:9" x14ac:dyDescent="0.25">
      <c r="A3" s="423" t="s">
        <v>226</v>
      </c>
      <c r="B3" s="423"/>
      <c r="C3" s="423"/>
      <c r="D3" s="423"/>
      <c r="E3" s="423"/>
      <c r="F3" s="423"/>
      <c r="G3" s="423"/>
      <c r="H3" s="423"/>
      <c r="I3" s="423"/>
    </row>
    <row r="4" spans="1:9" x14ac:dyDescent="0.25">
      <c r="H4" s="424" t="s">
        <v>56</v>
      </c>
      <c r="I4" s="424"/>
    </row>
    <row r="5" spans="1:9" ht="20.25" customHeight="1" x14ac:dyDescent="0.25">
      <c r="A5" s="421" t="s">
        <v>3</v>
      </c>
      <c r="B5" s="421" t="s">
        <v>4</v>
      </c>
      <c r="C5" s="421" t="s">
        <v>227</v>
      </c>
      <c r="D5" s="421" t="s">
        <v>228</v>
      </c>
      <c r="E5" s="421" t="s">
        <v>229</v>
      </c>
      <c r="F5" s="421"/>
      <c r="G5" s="421" t="s">
        <v>230</v>
      </c>
      <c r="H5" s="421" t="s">
        <v>231</v>
      </c>
      <c r="I5" s="421" t="s">
        <v>232</v>
      </c>
    </row>
    <row r="6" spans="1:9" ht="54" customHeight="1" x14ac:dyDescent="0.25">
      <c r="A6" s="421"/>
      <c r="B6" s="421"/>
      <c r="C6" s="421"/>
      <c r="D6" s="421"/>
      <c r="E6" s="2" t="s">
        <v>233</v>
      </c>
      <c r="F6" s="2" t="s">
        <v>234</v>
      </c>
      <c r="G6" s="421"/>
      <c r="H6" s="421"/>
      <c r="I6" s="421"/>
    </row>
    <row r="7" spans="1:9" x14ac:dyDescent="0.25">
      <c r="A7" s="2" t="s">
        <v>15</v>
      </c>
      <c r="B7" s="2" t="s">
        <v>16</v>
      </c>
      <c r="C7" s="2">
        <v>1</v>
      </c>
      <c r="D7" s="2">
        <v>2</v>
      </c>
      <c r="E7" s="2" t="s">
        <v>235</v>
      </c>
      <c r="F7" s="2" t="s">
        <v>236</v>
      </c>
      <c r="G7" s="2">
        <v>5</v>
      </c>
      <c r="H7" s="2">
        <v>6</v>
      </c>
      <c r="I7" s="2">
        <v>7</v>
      </c>
    </row>
    <row r="8" spans="1:9" x14ac:dyDescent="0.25">
      <c r="A8" s="2" t="s">
        <v>15</v>
      </c>
      <c r="B8" s="14" t="s">
        <v>237</v>
      </c>
      <c r="C8" s="57">
        <f>+C9+C10+C13+C14+C15</f>
        <v>0</v>
      </c>
      <c r="D8" s="57">
        <f t="shared" ref="D8:I8" si="0">+D9+D10+D13+D14+D15</f>
        <v>0</v>
      </c>
      <c r="E8" s="57">
        <f t="shared" si="0"/>
        <v>0</v>
      </c>
      <c r="F8" s="57">
        <f t="shared" si="0"/>
        <v>0</v>
      </c>
      <c r="G8" s="57">
        <f t="shared" si="0"/>
        <v>0</v>
      </c>
      <c r="H8" s="57">
        <f t="shared" si="0"/>
        <v>0</v>
      </c>
      <c r="I8" s="57">
        <f t="shared" si="0"/>
        <v>0</v>
      </c>
    </row>
    <row r="9" spans="1:9" x14ac:dyDescent="0.25">
      <c r="A9" s="2" t="s">
        <v>83</v>
      </c>
      <c r="B9" s="14" t="s">
        <v>238</v>
      </c>
      <c r="C9" s="55"/>
      <c r="D9" s="55"/>
      <c r="E9" s="55"/>
      <c r="F9" s="55"/>
      <c r="G9" s="55"/>
      <c r="H9" s="55"/>
      <c r="I9" s="55"/>
    </row>
    <row r="10" spans="1:9" x14ac:dyDescent="0.25">
      <c r="A10" s="2" t="s">
        <v>70</v>
      </c>
      <c r="B10" s="14" t="s">
        <v>239</v>
      </c>
      <c r="C10" s="57">
        <f>SUM(C11:C12)</f>
        <v>0</v>
      </c>
      <c r="D10" s="57">
        <f t="shared" ref="D10:I10" si="1">SUM(D11:D12)</f>
        <v>0</v>
      </c>
      <c r="E10" s="57">
        <f t="shared" si="1"/>
        <v>0</v>
      </c>
      <c r="F10" s="57">
        <f t="shared" si="1"/>
        <v>0</v>
      </c>
      <c r="G10" s="57">
        <f t="shared" si="1"/>
        <v>0</v>
      </c>
      <c r="H10" s="57">
        <f t="shared" si="1"/>
        <v>0</v>
      </c>
      <c r="I10" s="57">
        <f t="shared" si="1"/>
        <v>0</v>
      </c>
    </row>
    <row r="11" spans="1:9" x14ac:dyDescent="0.25">
      <c r="A11" s="3">
        <v>1</v>
      </c>
      <c r="B11" s="4" t="s">
        <v>240</v>
      </c>
      <c r="C11" s="55"/>
      <c r="D11" s="55"/>
      <c r="E11" s="55"/>
      <c r="F11" s="55"/>
      <c r="G11" s="55"/>
      <c r="H11" s="55"/>
      <c r="I11" s="55"/>
    </row>
    <row r="12" spans="1:9" x14ac:dyDescent="0.25">
      <c r="A12" s="3">
        <v>2</v>
      </c>
      <c r="B12" s="4" t="s">
        <v>88</v>
      </c>
      <c r="C12" s="55"/>
      <c r="D12" s="55"/>
      <c r="E12" s="55"/>
      <c r="F12" s="55"/>
      <c r="G12" s="55"/>
      <c r="H12" s="55"/>
      <c r="I12" s="55"/>
    </row>
    <row r="13" spans="1:9" x14ac:dyDescent="0.25">
      <c r="A13" s="2" t="s">
        <v>73</v>
      </c>
      <c r="B13" s="14" t="s">
        <v>241</v>
      </c>
      <c r="C13" s="55"/>
      <c r="D13" s="55"/>
      <c r="E13" s="55"/>
      <c r="F13" s="55"/>
      <c r="G13" s="55"/>
      <c r="H13" s="55"/>
      <c r="I13" s="55"/>
    </row>
    <row r="14" spans="1:9" x14ac:dyDescent="0.25">
      <c r="A14" s="2" t="s">
        <v>77</v>
      </c>
      <c r="B14" s="14" t="s">
        <v>242</v>
      </c>
      <c r="C14" s="55"/>
      <c r="D14" s="55"/>
      <c r="E14" s="55"/>
      <c r="F14" s="55"/>
      <c r="G14" s="55"/>
      <c r="H14" s="55"/>
      <c r="I14" s="55"/>
    </row>
    <row r="15" spans="1:9" x14ac:dyDescent="0.25">
      <c r="A15" s="2" t="s">
        <v>113</v>
      </c>
      <c r="B15" s="14" t="s">
        <v>243</v>
      </c>
      <c r="C15" s="55"/>
      <c r="D15" s="55"/>
      <c r="E15" s="55"/>
      <c r="F15" s="55"/>
      <c r="G15" s="55"/>
      <c r="H15" s="55"/>
      <c r="I15" s="55"/>
    </row>
    <row r="16" spans="1:9" x14ac:dyDescent="0.25">
      <c r="A16" s="2" t="s">
        <v>16</v>
      </c>
      <c r="B16" s="14" t="s">
        <v>90</v>
      </c>
      <c r="C16" s="57">
        <f>+C17+C24+C27</f>
        <v>0</v>
      </c>
      <c r="D16" s="57">
        <f t="shared" ref="D16:I16" si="2">+D17+D24+D27</f>
        <v>0</v>
      </c>
      <c r="E16" s="57">
        <f t="shared" si="2"/>
        <v>0</v>
      </c>
      <c r="F16" s="57">
        <f t="shared" si="2"/>
        <v>0</v>
      </c>
      <c r="G16" s="57">
        <f t="shared" si="2"/>
        <v>0</v>
      </c>
      <c r="H16" s="57">
        <f t="shared" si="2"/>
        <v>0</v>
      </c>
      <c r="I16" s="57">
        <f t="shared" si="2"/>
        <v>0</v>
      </c>
    </row>
    <row r="17" spans="1:9" x14ac:dyDescent="0.25">
      <c r="A17" s="2" t="s">
        <v>83</v>
      </c>
      <c r="B17" s="14" t="s">
        <v>244</v>
      </c>
      <c r="C17" s="57">
        <f>SUM(C18:C23)</f>
        <v>0</v>
      </c>
      <c r="D17" s="57">
        <f t="shared" ref="D17:I17" si="3">SUM(D18:D23)</f>
        <v>0</v>
      </c>
      <c r="E17" s="57">
        <f t="shared" si="3"/>
        <v>0</v>
      </c>
      <c r="F17" s="57">
        <f t="shared" si="3"/>
        <v>0</v>
      </c>
      <c r="G17" s="57">
        <f t="shared" si="3"/>
        <v>0</v>
      </c>
      <c r="H17" s="57">
        <f t="shared" si="3"/>
        <v>0</v>
      </c>
      <c r="I17" s="57">
        <f t="shared" si="3"/>
        <v>0</v>
      </c>
    </row>
    <row r="18" spans="1:9" x14ac:dyDescent="0.25">
      <c r="A18" s="3">
        <v>1</v>
      </c>
      <c r="B18" s="4" t="s">
        <v>93</v>
      </c>
      <c r="C18" s="55"/>
      <c r="D18" s="55"/>
      <c r="E18" s="55"/>
      <c r="F18" s="55"/>
      <c r="G18" s="55"/>
      <c r="H18" s="55"/>
      <c r="I18" s="55"/>
    </row>
    <row r="19" spans="1:9" x14ac:dyDescent="0.25">
      <c r="A19" s="3">
        <v>2</v>
      </c>
      <c r="B19" s="4" t="s">
        <v>96</v>
      </c>
      <c r="C19" s="55"/>
      <c r="D19" s="55"/>
      <c r="E19" s="55"/>
      <c r="F19" s="55"/>
      <c r="G19" s="55"/>
      <c r="H19" s="55"/>
      <c r="I19" s="55"/>
    </row>
    <row r="20" spans="1:9" ht="30" x14ac:dyDescent="0.25">
      <c r="A20" s="3">
        <v>3</v>
      </c>
      <c r="B20" s="4" t="s">
        <v>245</v>
      </c>
      <c r="C20" s="55"/>
      <c r="D20" s="55"/>
      <c r="E20" s="55"/>
      <c r="F20" s="55"/>
      <c r="G20" s="55"/>
      <c r="H20" s="55"/>
      <c r="I20" s="55"/>
    </row>
    <row r="21" spans="1:9" x14ac:dyDescent="0.25">
      <c r="A21" s="3">
        <v>4</v>
      </c>
      <c r="B21" s="4" t="s">
        <v>246</v>
      </c>
      <c r="C21" s="55"/>
      <c r="D21" s="55"/>
      <c r="E21" s="55"/>
      <c r="F21" s="55"/>
      <c r="G21" s="55"/>
      <c r="H21" s="55"/>
      <c r="I21" s="55"/>
    </row>
    <row r="22" spans="1:9" x14ac:dyDescent="0.25">
      <c r="A22" s="3">
        <v>5</v>
      </c>
      <c r="B22" s="4" t="s">
        <v>247</v>
      </c>
      <c r="C22" s="55"/>
      <c r="D22" s="55"/>
      <c r="E22" s="55"/>
      <c r="F22" s="55"/>
      <c r="G22" s="55"/>
      <c r="H22" s="55"/>
      <c r="I22" s="55"/>
    </row>
    <row r="23" spans="1:9" x14ac:dyDescent="0.25">
      <c r="A23" s="3">
        <v>6</v>
      </c>
      <c r="B23" s="4" t="s">
        <v>98</v>
      </c>
      <c r="C23" s="55"/>
      <c r="D23" s="55"/>
      <c r="E23" s="55"/>
      <c r="F23" s="55"/>
      <c r="G23" s="55"/>
      <c r="H23" s="55"/>
      <c r="I23" s="55"/>
    </row>
    <row r="24" spans="1:9" x14ac:dyDescent="0.25">
      <c r="A24" s="2" t="s">
        <v>70</v>
      </c>
      <c r="B24" s="14" t="s">
        <v>248</v>
      </c>
      <c r="C24" s="57">
        <f>SUM(C25:C26)</f>
        <v>0</v>
      </c>
      <c r="D24" s="57">
        <f t="shared" ref="D24:I24" si="4">SUM(D25:D26)</f>
        <v>0</v>
      </c>
      <c r="E24" s="57">
        <f t="shared" si="4"/>
        <v>0</v>
      </c>
      <c r="F24" s="57">
        <f t="shared" si="4"/>
        <v>0</v>
      </c>
      <c r="G24" s="57">
        <f t="shared" si="4"/>
        <v>0</v>
      </c>
      <c r="H24" s="57">
        <f t="shared" si="4"/>
        <v>0</v>
      </c>
      <c r="I24" s="57">
        <f t="shared" si="4"/>
        <v>0</v>
      </c>
    </row>
    <row r="25" spans="1:9" x14ac:dyDescent="0.25">
      <c r="A25" s="3">
        <v>1</v>
      </c>
      <c r="B25" s="4" t="s">
        <v>249</v>
      </c>
      <c r="C25" s="55"/>
      <c r="D25" s="55"/>
      <c r="E25" s="55"/>
      <c r="F25" s="55"/>
      <c r="G25" s="55"/>
      <c r="H25" s="55"/>
      <c r="I25" s="55"/>
    </row>
    <row r="26" spans="1:9" x14ac:dyDescent="0.25">
      <c r="A26" s="3">
        <v>2</v>
      </c>
      <c r="B26" s="4" t="s">
        <v>250</v>
      </c>
      <c r="C26" s="55"/>
      <c r="D26" s="55"/>
      <c r="E26" s="55"/>
      <c r="F26" s="55"/>
      <c r="G26" s="55"/>
      <c r="H26" s="55"/>
      <c r="I26" s="55"/>
    </row>
    <row r="27" spans="1:9" x14ac:dyDescent="0.25">
      <c r="A27" s="2" t="s">
        <v>73</v>
      </c>
      <c r="B27" s="14" t="s">
        <v>251</v>
      </c>
      <c r="C27" s="55"/>
      <c r="D27" s="55"/>
      <c r="E27" s="55"/>
      <c r="F27" s="55"/>
      <c r="G27" s="55"/>
      <c r="H27" s="55"/>
      <c r="I27" s="55"/>
    </row>
    <row r="28" spans="1:9" x14ac:dyDescent="0.25">
      <c r="A28" s="2" t="s">
        <v>79</v>
      </c>
      <c r="B28" s="14" t="s">
        <v>252</v>
      </c>
      <c r="C28" s="55"/>
      <c r="D28" s="55"/>
      <c r="E28" s="55"/>
      <c r="F28" s="55"/>
      <c r="G28" s="55"/>
      <c r="H28" s="55"/>
      <c r="I28" s="55"/>
    </row>
    <row r="29" spans="1:9" x14ac:dyDescent="0.25">
      <c r="A29" s="2" t="s">
        <v>89</v>
      </c>
      <c r="B29" s="14" t="s">
        <v>253</v>
      </c>
      <c r="C29" s="57">
        <f>+C30+C31+C32+C35+C38</f>
        <v>0</v>
      </c>
      <c r="D29" s="57">
        <f t="shared" ref="D29:I29" si="5">+D30+D31+D32+D35+D38</f>
        <v>0</v>
      </c>
      <c r="E29" s="57">
        <f t="shared" si="5"/>
        <v>0</v>
      </c>
      <c r="F29" s="57">
        <f t="shared" si="5"/>
        <v>0</v>
      </c>
      <c r="G29" s="57">
        <f t="shared" si="5"/>
        <v>0</v>
      </c>
      <c r="H29" s="57">
        <f t="shared" si="5"/>
        <v>0</v>
      </c>
      <c r="I29" s="57">
        <f t="shared" si="5"/>
        <v>0</v>
      </c>
    </row>
    <row r="30" spans="1:9" x14ac:dyDescent="0.25">
      <c r="A30" s="2" t="s">
        <v>83</v>
      </c>
      <c r="B30" s="14" t="s">
        <v>254</v>
      </c>
      <c r="C30" s="55"/>
      <c r="D30" s="55"/>
      <c r="E30" s="55"/>
      <c r="F30" s="55"/>
      <c r="G30" s="55"/>
      <c r="H30" s="55"/>
      <c r="I30" s="55"/>
    </row>
    <row r="31" spans="1:9" x14ac:dyDescent="0.25">
      <c r="A31" s="2" t="s">
        <v>70</v>
      </c>
      <c r="B31" s="14" t="s">
        <v>255</v>
      </c>
      <c r="C31" s="55"/>
      <c r="D31" s="55"/>
      <c r="E31" s="55"/>
      <c r="F31" s="55"/>
      <c r="G31" s="55"/>
      <c r="H31" s="55"/>
      <c r="I31" s="55"/>
    </row>
    <row r="32" spans="1:9" x14ac:dyDescent="0.25">
      <c r="A32" s="2" t="s">
        <v>73</v>
      </c>
      <c r="B32" s="14" t="s">
        <v>256</v>
      </c>
      <c r="C32" s="57">
        <f>SUM(C33:C34)</f>
        <v>0</v>
      </c>
      <c r="D32" s="57">
        <f t="shared" ref="D32:I32" si="6">SUM(D33:D34)</f>
        <v>0</v>
      </c>
      <c r="E32" s="57">
        <f t="shared" si="6"/>
        <v>0</v>
      </c>
      <c r="F32" s="57">
        <f t="shared" si="6"/>
        <v>0</v>
      </c>
      <c r="G32" s="57">
        <f t="shared" si="6"/>
        <v>0</v>
      </c>
      <c r="H32" s="57">
        <f t="shared" si="6"/>
        <v>0</v>
      </c>
      <c r="I32" s="57">
        <f t="shared" si="6"/>
        <v>0</v>
      </c>
    </row>
    <row r="33" spans="1:9" x14ac:dyDescent="0.25">
      <c r="A33" s="3">
        <v>1</v>
      </c>
      <c r="B33" s="56" t="s">
        <v>902</v>
      </c>
      <c r="C33" s="55"/>
      <c r="D33" s="55"/>
      <c r="E33" s="55"/>
      <c r="F33" s="55"/>
      <c r="G33" s="55"/>
      <c r="H33" s="55"/>
      <c r="I33" s="55"/>
    </row>
    <row r="34" spans="1:9" ht="30" customHeight="1" x14ac:dyDescent="0.25">
      <c r="A34" s="3">
        <v>2</v>
      </c>
      <c r="B34" s="56" t="s">
        <v>257</v>
      </c>
      <c r="C34" s="55"/>
      <c r="D34" s="55"/>
      <c r="E34" s="55"/>
      <c r="F34" s="55"/>
      <c r="G34" s="55"/>
      <c r="H34" s="55"/>
      <c r="I34" s="55"/>
    </row>
    <row r="35" spans="1:9" x14ac:dyDescent="0.25">
      <c r="A35" s="2" t="s">
        <v>77</v>
      </c>
      <c r="B35" s="14" t="s">
        <v>258</v>
      </c>
      <c r="C35" s="57">
        <f t="shared" ref="C35:I35" si="7">SUM(C36:C37)</f>
        <v>0</v>
      </c>
      <c r="D35" s="57">
        <f t="shared" si="7"/>
        <v>0</v>
      </c>
      <c r="E35" s="57">
        <f t="shared" si="7"/>
        <v>0</v>
      </c>
      <c r="F35" s="57">
        <f t="shared" si="7"/>
        <v>0</v>
      </c>
      <c r="G35" s="57">
        <f t="shared" si="7"/>
        <v>0</v>
      </c>
      <c r="H35" s="57">
        <f t="shared" si="7"/>
        <v>0</v>
      </c>
      <c r="I35" s="57">
        <f t="shared" si="7"/>
        <v>0</v>
      </c>
    </row>
    <row r="36" spans="1:9" x14ac:dyDescent="0.25">
      <c r="A36" s="3">
        <v>1</v>
      </c>
      <c r="B36" s="4" t="s">
        <v>259</v>
      </c>
      <c r="C36" s="55"/>
      <c r="D36" s="55"/>
      <c r="E36" s="55"/>
      <c r="F36" s="55"/>
      <c r="G36" s="55"/>
      <c r="H36" s="55"/>
      <c r="I36" s="55"/>
    </row>
    <row r="37" spans="1:9" x14ac:dyDescent="0.25">
      <c r="A37" s="3">
        <v>2</v>
      </c>
      <c r="B37" s="4" t="s">
        <v>260</v>
      </c>
      <c r="C37" s="55"/>
      <c r="D37" s="55"/>
      <c r="E37" s="55"/>
      <c r="F37" s="55"/>
      <c r="G37" s="55"/>
      <c r="H37" s="55"/>
      <c r="I37" s="55"/>
    </row>
    <row r="38" spans="1:9" x14ac:dyDescent="0.25">
      <c r="A38" s="2" t="s">
        <v>113</v>
      </c>
      <c r="B38" s="14" t="s">
        <v>114</v>
      </c>
      <c r="C38" s="55"/>
      <c r="D38" s="55"/>
      <c r="E38" s="55"/>
      <c r="F38" s="55"/>
      <c r="G38" s="55"/>
      <c r="H38" s="55"/>
      <c r="I38" s="55"/>
    </row>
    <row r="39" spans="1:9" ht="19.5" customHeight="1" x14ac:dyDescent="0.25">
      <c r="A39" s="15" t="s">
        <v>118</v>
      </c>
    </row>
    <row r="40" spans="1:9" ht="51" customHeight="1" x14ac:dyDescent="0.25">
      <c r="A40" s="425" t="s">
        <v>119</v>
      </c>
      <c r="B40" s="425"/>
      <c r="C40" s="425"/>
      <c r="D40" s="425"/>
      <c r="E40" s="425"/>
      <c r="F40" s="425"/>
      <c r="G40" s="425"/>
      <c r="H40" s="425"/>
      <c r="I40" s="425"/>
    </row>
    <row r="41" spans="1:9" ht="36" customHeight="1" x14ac:dyDescent="0.25">
      <c r="A41" s="425" t="s">
        <v>261</v>
      </c>
      <c r="B41" s="425"/>
      <c r="C41" s="425"/>
      <c r="D41" s="425"/>
      <c r="E41" s="425"/>
      <c r="F41" s="425"/>
      <c r="G41" s="425"/>
      <c r="H41" s="425"/>
      <c r="I41" s="425"/>
    </row>
  </sheetData>
  <mergeCells count="14">
    <mergeCell ref="A40:I40"/>
    <mergeCell ref="A41:I41"/>
    <mergeCell ref="H5:H6"/>
    <mergeCell ref="I5:I6"/>
    <mergeCell ref="A1:I1"/>
    <mergeCell ref="A2:I2"/>
    <mergeCell ref="A3:I3"/>
    <mergeCell ref="H4:I4"/>
    <mergeCell ref="A5:A6"/>
    <mergeCell ref="B5:B6"/>
    <mergeCell ref="C5:C6"/>
    <mergeCell ref="D5:D6"/>
    <mergeCell ref="E5:F5"/>
    <mergeCell ref="G5:G6"/>
  </mergeCells>
  <pageMargins left="0.55000000000000004" right="0.23" top="0.74803149606299213" bottom="0.74803149606299213" header="0.31496062992125984" footer="0.31496062992125984"/>
  <pageSetup paperSize="9" scale="85"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39997558519241921"/>
  </sheetPr>
  <dimension ref="A1:G38"/>
  <sheetViews>
    <sheetView workbookViewId="0">
      <selection activeCell="E33" sqref="E33"/>
    </sheetView>
  </sheetViews>
  <sheetFormatPr defaultColWidth="9.140625" defaultRowHeight="15" x14ac:dyDescent="0.25"/>
  <cols>
    <col min="1" max="1" width="5.7109375" style="1" customWidth="1"/>
    <col min="2" max="2" width="45.28515625" style="1" customWidth="1"/>
    <col min="3" max="4" width="11.28515625" style="1" customWidth="1"/>
    <col min="5" max="7" width="11.5703125" style="1" customWidth="1"/>
    <col min="8" max="16384" width="9.140625" style="1"/>
  </cols>
  <sheetData>
    <row r="1" spans="1:7" x14ac:dyDescent="0.25">
      <c r="A1" s="422" t="s">
        <v>262</v>
      </c>
      <c r="B1" s="422"/>
      <c r="C1" s="422"/>
      <c r="D1" s="422"/>
      <c r="E1" s="422"/>
      <c r="F1" s="422"/>
      <c r="G1" s="422"/>
    </row>
    <row r="2" spans="1:7" ht="25.5" customHeight="1" x14ac:dyDescent="0.25">
      <c r="A2" s="417" t="s">
        <v>263</v>
      </c>
      <c r="B2" s="417"/>
      <c r="C2" s="417"/>
      <c r="D2" s="417"/>
      <c r="E2" s="417"/>
      <c r="F2" s="417"/>
      <c r="G2" s="417"/>
    </row>
    <row r="3" spans="1:7" x14ac:dyDescent="0.25">
      <c r="A3" s="423" t="s">
        <v>264</v>
      </c>
      <c r="B3" s="423"/>
      <c r="C3" s="423"/>
      <c r="D3" s="423"/>
      <c r="E3" s="423"/>
      <c r="F3" s="423"/>
      <c r="G3" s="423"/>
    </row>
    <row r="4" spans="1:7" x14ac:dyDescent="0.25">
      <c r="F4" s="424" t="s">
        <v>56</v>
      </c>
      <c r="G4" s="424"/>
    </row>
    <row r="5" spans="1:7" ht="62.25" customHeight="1" x14ac:dyDescent="0.25">
      <c r="A5" s="2" t="s">
        <v>3</v>
      </c>
      <c r="B5" s="2" t="s">
        <v>265</v>
      </c>
      <c r="C5" s="2" t="s">
        <v>908</v>
      </c>
      <c r="D5" s="2" t="s">
        <v>266</v>
      </c>
      <c r="E5" s="2" t="s">
        <v>229</v>
      </c>
      <c r="F5" s="2" t="s">
        <v>267</v>
      </c>
      <c r="G5" s="2" t="s">
        <v>268</v>
      </c>
    </row>
    <row r="6" spans="1:7" x14ac:dyDescent="0.25">
      <c r="A6" s="2" t="s">
        <v>15</v>
      </c>
      <c r="B6" s="2" t="s">
        <v>16</v>
      </c>
      <c r="C6" s="2">
        <v>1</v>
      </c>
      <c r="D6" s="2">
        <v>2</v>
      </c>
      <c r="E6" s="2" t="s">
        <v>269</v>
      </c>
      <c r="F6" s="2">
        <v>4</v>
      </c>
      <c r="G6" s="2">
        <v>5</v>
      </c>
    </row>
    <row r="7" spans="1:7" x14ac:dyDescent="0.25">
      <c r="A7" s="3"/>
      <c r="B7" s="14" t="s">
        <v>270</v>
      </c>
      <c r="C7" s="57">
        <f>+C10+C24+C27+C30</f>
        <v>0</v>
      </c>
      <c r="D7" s="57">
        <f t="shared" ref="D7:G7" si="0">+D10+D24+D27+D30</f>
        <v>0</v>
      </c>
      <c r="E7" s="57">
        <f t="shared" si="0"/>
        <v>0</v>
      </c>
      <c r="F7" s="57">
        <f t="shared" si="0"/>
        <v>0</v>
      </c>
      <c r="G7" s="57">
        <f t="shared" si="0"/>
        <v>0</v>
      </c>
    </row>
    <row r="8" spans="1:7" x14ac:dyDescent="0.25">
      <c r="A8" s="3"/>
      <c r="B8" s="5" t="s">
        <v>271</v>
      </c>
      <c r="C8" s="3"/>
      <c r="D8" s="3"/>
      <c r="E8" s="3"/>
      <c r="F8" s="3"/>
      <c r="G8" s="3"/>
    </row>
    <row r="9" spans="1:7" x14ac:dyDescent="0.25">
      <c r="A9" s="3"/>
      <c r="B9" s="5" t="s">
        <v>272</v>
      </c>
      <c r="C9" s="3"/>
      <c r="D9" s="3"/>
      <c r="E9" s="3"/>
      <c r="F9" s="3"/>
      <c r="G9" s="3"/>
    </row>
    <row r="10" spans="1:7" x14ac:dyDescent="0.25">
      <c r="A10" s="2" t="s">
        <v>83</v>
      </c>
      <c r="B10" s="14" t="s">
        <v>65</v>
      </c>
      <c r="C10" s="57">
        <f>SUM(C14:C23)</f>
        <v>0</v>
      </c>
      <c r="D10" s="57">
        <f t="shared" ref="D10:G10" si="1">SUM(D14:D23)</f>
        <v>0</v>
      </c>
      <c r="E10" s="57">
        <f t="shared" si="1"/>
        <v>0</v>
      </c>
      <c r="F10" s="57">
        <f t="shared" si="1"/>
        <v>0</v>
      </c>
      <c r="G10" s="57">
        <f t="shared" si="1"/>
        <v>0</v>
      </c>
    </row>
    <row r="11" spans="1:7" x14ac:dyDescent="0.25">
      <c r="A11" s="3"/>
      <c r="B11" s="5" t="s">
        <v>273</v>
      </c>
      <c r="C11" s="3"/>
      <c r="D11" s="3"/>
      <c r="E11" s="3"/>
      <c r="F11" s="3"/>
      <c r="G11" s="3"/>
    </row>
    <row r="12" spans="1:7" x14ac:dyDescent="0.25">
      <c r="A12" s="3"/>
      <c r="B12" s="5" t="s">
        <v>274</v>
      </c>
      <c r="C12" s="3"/>
      <c r="D12" s="3"/>
      <c r="E12" s="3"/>
      <c r="F12" s="3"/>
      <c r="G12" s="3"/>
    </row>
    <row r="13" spans="1:7" x14ac:dyDescent="0.25">
      <c r="A13" s="3"/>
      <c r="B13" s="5" t="s">
        <v>134</v>
      </c>
      <c r="C13" s="3"/>
      <c r="D13" s="3"/>
      <c r="E13" s="3"/>
      <c r="F13" s="3"/>
      <c r="G13" s="3"/>
    </row>
    <row r="14" spans="1:7" ht="30" x14ac:dyDescent="0.25">
      <c r="A14" s="3">
        <v>1</v>
      </c>
      <c r="B14" s="4" t="s">
        <v>275</v>
      </c>
      <c r="C14" s="3"/>
      <c r="D14" s="3"/>
      <c r="E14" s="3"/>
      <c r="F14" s="3"/>
      <c r="G14" s="3"/>
    </row>
    <row r="15" spans="1:7" ht="30" x14ac:dyDescent="0.25">
      <c r="A15" s="3">
        <v>2</v>
      </c>
      <c r="B15" s="4" t="s">
        <v>276</v>
      </c>
      <c r="C15" s="3"/>
      <c r="D15" s="3"/>
      <c r="E15" s="3"/>
      <c r="F15" s="3"/>
      <c r="G15" s="3"/>
    </row>
    <row r="16" spans="1:7" ht="30" x14ac:dyDescent="0.25">
      <c r="A16" s="3">
        <v>3</v>
      </c>
      <c r="B16" s="4" t="s">
        <v>277</v>
      </c>
      <c r="C16" s="3"/>
      <c r="D16" s="3"/>
      <c r="E16" s="3"/>
      <c r="F16" s="3"/>
      <c r="G16" s="3"/>
    </row>
    <row r="17" spans="1:7" x14ac:dyDescent="0.25">
      <c r="A17" s="3">
        <v>4</v>
      </c>
      <c r="B17" s="4" t="s">
        <v>278</v>
      </c>
      <c r="C17" s="3"/>
      <c r="D17" s="3"/>
      <c r="E17" s="3"/>
      <c r="F17" s="3"/>
      <c r="G17" s="3"/>
    </row>
    <row r="18" spans="1:7" x14ac:dyDescent="0.25">
      <c r="A18" s="3">
        <v>5</v>
      </c>
      <c r="B18" s="4" t="s">
        <v>279</v>
      </c>
      <c r="C18" s="3"/>
      <c r="D18" s="3"/>
      <c r="E18" s="3"/>
      <c r="F18" s="3"/>
      <c r="G18" s="3"/>
    </row>
    <row r="19" spans="1:7" x14ac:dyDescent="0.25">
      <c r="A19" s="3">
        <v>6</v>
      </c>
      <c r="B19" s="4" t="s">
        <v>280</v>
      </c>
      <c r="C19" s="3"/>
      <c r="D19" s="3"/>
      <c r="E19" s="3"/>
      <c r="F19" s="3"/>
      <c r="G19" s="3"/>
    </row>
    <row r="20" spans="1:7" x14ac:dyDescent="0.25">
      <c r="A20" s="3">
        <v>7</v>
      </c>
      <c r="B20" s="4" t="s">
        <v>281</v>
      </c>
      <c r="C20" s="3"/>
      <c r="D20" s="3"/>
      <c r="E20" s="3"/>
      <c r="F20" s="3"/>
      <c r="G20" s="3"/>
    </row>
    <row r="21" spans="1:7" x14ac:dyDescent="0.25">
      <c r="A21" s="3">
        <v>8</v>
      </c>
      <c r="B21" s="4" t="s">
        <v>282</v>
      </c>
      <c r="C21" s="3"/>
      <c r="D21" s="3"/>
      <c r="E21" s="3"/>
      <c r="F21" s="3"/>
      <c r="G21" s="3"/>
    </row>
    <row r="22" spans="1:7" x14ac:dyDescent="0.25">
      <c r="A22" s="3">
        <v>9</v>
      </c>
      <c r="B22" s="4" t="s">
        <v>283</v>
      </c>
      <c r="C22" s="3"/>
      <c r="D22" s="3"/>
      <c r="E22" s="3"/>
      <c r="F22" s="3"/>
      <c r="G22" s="3"/>
    </row>
    <row r="23" spans="1:7" ht="30" x14ac:dyDescent="0.25">
      <c r="A23" s="3">
        <v>10</v>
      </c>
      <c r="B23" s="4" t="s">
        <v>284</v>
      </c>
      <c r="C23" s="3"/>
      <c r="D23" s="3"/>
      <c r="E23" s="3"/>
      <c r="F23" s="3"/>
      <c r="G23" s="3"/>
    </row>
    <row r="24" spans="1:7" x14ac:dyDescent="0.25">
      <c r="A24" s="2" t="s">
        <v>70</v>
      </c>
      <c r="B24" s="14" t="s">
        <v>285</v>
      </c>
      <c r="C24" s="3"/>
      <c r="D24" s="3"/>
      <c r="E24" s="3"/>
      <c r="F24" s="3"/>
      <c r="G24" s="3"/>
    </row>
    <row r="25" spans="1:7" x14ac:dyDescent="0.25">
      <c r="A25" s="3"/>
      <c r="B25" s="5" t="s">
        <v>273</v>
      </c>
      <c r="C25" s="3"/>
      <c r="D25" s="3"/>
      <c r="E25" s="3"/>
      <c r="F25" s="3"/>
      <c r="G25" s="3"/>
    </row>
    <row r="26" spans="1:7" x14ac:dyDescent="0.25">
      <c r="A26" s="3"/>
      <c r="B26" s="5" t="s">
        <v>274</v>
      </c>
      <c r="C26" s="3"/>
      <c r="D26" s="3"/>
      <c r="E26" s="3"/>
      <c r="F26" s="3"/>
      <c r="G26" s="3"/>
    </row>
    <row r="27" spans="1:7" x14ac:dyDescent="0.25">
      <c r="A27" s="2" t="s">
        <v>73</v>
      </c>
      <c r="B27" s="14" t="s">
        <v>286</v>
      </c>
      <c r="C27" s="3"/>
      <c r="D27" s="3"/>
      <c r="E27" s="3"/>
      <c r="F27" s="3"/>
      <c r="G27" s="3"/>
    </row>
    <row r="28" spans="1:7" x14ac:dyDescent="0.25">
      <c r="A28" s="3"/>
      <c r="B28" s="5" t="s">
        <v>273</v>
      </c>
      <c r="C28" s="3"/>
      <c r="D28" s="3"/>
      <c r="E28" s="3"/>
      <c r="F28" s="3"/>
      <c r="G28" s="3"/>
    </row>
    <row r="29" spans="1:7" x14ac:dyDescent="0.25">
      <c r="A29" s="3"/>
      <c r="B29" s="5" t="s">
        <v>274</v>
      </c>
      <c r="C29" s="3"/>
      <c r="D29" s="3"/>
      <c r="E29" s="3"/>
      <c r="F29" s="3"/>
      <c r="G29" s="3"/>
    </row>
    <row r="30" spans="1:7" x14ac:dyDescent="0.25">
      <c r="A30" s="2" t="s">
        <v>77</v>
      </c>
      <c r="B30" s="14" t="s">
        <v>287</v>
      </c>
      <c r="C30" s="3"/>
      <c r="D30" s="3"/>
      <c r="E30" s="3"/>
      <c r="F30" s="3"/>
      <c r="G30" s="3"/>
    </row>
    <row r="31" spans="1:7" x14ac:dyDescent="0.25">
      <c r="A31" s="3"/>
      <c r="B31" s="5" t="s">
        <v>273</v>
      </c>
      <c r="C31" s="3"/>
      <c r="D31" s="3"/>
      <c r="E31" s="3"/>
      <c r="F31" s="3"/>
      <c r="G31" s="3"/>
    </row>
    <row r="32" spans="1:7" x14ac:dyDescent="0.25">
      <c r="A32" s="3"/>
      <c r="B32" s="5" t="s">
        <v>274</v>
      </c>
      <c r="C32" s="3"/>
      <c r="D32" s="3"/>
      <c r="E32" s="3"/>
      <c r="F32" s="3"/>
      <c r="G32" s="3"/>
    </row>
    <row r="33" spans="1:7" ht="23.25" customHeight="1" x14ac:dyDescent="0.25">
      <c r="A33" s="15" t="s">
        <v>288</v>
      </c>
    </row>
    <row r="34" spans="1:7" ht="33.75" customHeight="1" x14ac:dyDescent="0.25">
      <c r="A34" s="425" t="s">
        <v>289</v>
      </c>
      <c r="B34" s="425"/>
      <c r="C34" s="425"/>
      <c r="D34" s="425"/>
      <c r="E34" s="425"/>
      <c r="F34" s="425"/>
      <c r="G34" s="425"/>
    </row>
    <row r="35" spans="1:7" ht="36.75" customHeight="1" x14ac:dyDescent="0.25">
      <c r="A35" s="425" t="s">
        <v>290</v>
      </c>
      <c r="B35" s="425"/>
      <c r="C35" s="425"/>
      <c r="D35" s="425"/>
      <c r="E35" s="425"/>
      <c r="F35" s="425"/>
      <c r="G35" s="425"/>
    </row>
    <row r="36" spans="1:7" ht="52.5" customHeight="1" x14ac:dyDescent="0.25">
      <c r="A36" s="425" t="s">
        <v>291</v>
      </c>
      <c r="B36" s="425"/>
      <c r="C36" s="425"/>
      <c r="D36" s="425"/>
      <c r="E36" s="425"/>
      <c r="F36" s="425"/>
      <c r="G36" s="425"/>
    </row>
    <row r="37" spans="1:7" ht="47.25" customHeight="1" x14ac:dyDescent="0.25">
      <c r="A37" s="425" t="s">
        <v>292</v>
      </c>
      <c r="B37" s="425"/>
      <c r="C37" s="425"/>
      <c r="D37" s="425"/>
      <c r="E37" s="425"/>
      <c r="F37" s="425"/>
      <c r="G37" s="425"/>
    </row>
    <row r="38" spans="1:7" ht="27.75" customHeight="1" x14ac:dyDescent="0.25">
      <c r="A38" s="425" t="s">
        <v>293</v>
      </c>
      <c r="B38" s="425"/>
      <c r="C38" s="425"/>
      <c r="D38" s="425"/>
      <c r="E38" s="425"/>
      <c r="F38" s="425"/>
      <c r="G38" s="425"/>
    </row>
  </sheetData>
  <mergeCells count="9">
    <mergeCell ref="A36:G36"/>
    <mergeCell ref="A37:G37"/>
    <mergeCell ref="A38:G38"/>
    <mergeCell ref="A1:G1"/>
    <mergeCell ref="A2:G2"/>
    <mergeCell ref="A3:G3"/>
    <mergeCell ref="F4:G4"/>
    <mergeCell ref="A34:G34"/>
    <mergeCell ref="A35:G35"/>
  </mergeCells>
  <pageMargins left="0.70866141732283472" right="0.35433070866141736" top="0.6" bottom="0.74803149606299213" header="0.31496062992125984" footer="0.31496062992125984"/>
  <pageSetup paperSize="9" scale="88"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128</vt:i4>
      </vt:variant>
    </vt:vector>
  </HeadingPairs>
  <TitlesOfParts>
    <vt:vector size="190" baseType="lpstr">
      <vt:lpstr>PL tong hop</vt:lpstr>
      <vt:lpstr>01</vt:lpstr>
      <vt:lpstr>02</vt:lpstr>
      <vt:lpstr>03</vt:lpstr>
      <vt:lpstr>04</vt:lpstr>
      <vt:lpstr>05</vt:lpstr>
      <vt:lpstr>06</vt:lpstr>
      <vt:lpstr>07</vt:lpstr>
      <vt:lpstr>08</vt:lpstr>
      <vt:lpstr>09</vt:lpstr>
      <vt:lpstr>10</vt:lpstr>
      <vt:lpstr>11</vt:lpstr>
      <vt:lpstr>17</vt:lpstr>
      <vt:lpstr>18 (Khong)</vt:lpstr>
      <vt:lpstr>ĐGCĐ THU, CHI MAU 19</vt:lpstr>
      <vt:lpstr>DANH GIA TH THU NSNN 20</vt:lpstr>
      <vt:lpstr>D. GIA TH THU NSNN THEO L.V 21</vt:lpstr>
      <vt:lpstr>22</vt:lpstr>
      <vt:lpstr>23</vt:lpstr>
      <vt:lpstr>24</vt:lpstr>
      <vt:lpstr>25</vt:lpstr>
      <vt:lpstr>26</vt:lpstr>
      <vt:lpstr>27</vt:lpstr>
      <vt:lpstr>28</vt:lpstr>
      <vt:lpstr>29</vt:lpstr>
      <vt:lpstr>CĐDT THU, CHI MAU 30</vt:lpstr>
      <vt:lpstr>31</vt:lpstr>
      <vt:lpstr>PL 01</vt:lpstr>
      <vt:lpstr>PL 02</vt:lpstr>
      <vt:lpstr>DT CHI NS HUYEN, XA 33</vt:lpstr>
      <vt:lpstr>34 (Khong)</vt:lpstr>
      <vt:lpstr>PL 03</vt:lpstr>
      <vt:lpstr>36 (KHONG)</vt:lpstr>
      <vt:lpstr>DT CHI TX NSH TUNG CQ 37</vt:lpstr>
      <vt:lpstr>DT CTMTQG 38</vt:lpstr>
      <vt:lpstr>PL 04</vt:lpstr>
      <vt:lpstr>PL 05</vt:lpstr>
      <vt:lpstr>40 n(Khong)</vt:lpstr>
      <vt:lpstr>PL 06</vt:lpstr>
      <vt:lpstr>42(KHONG)</vt:lpstr>
      <vt:lpstr>43 (KHONG)</vt:lpstr>
      <vt:lpstr>44 (KHONG)</vt:lpstr>
      <vt:lpstr>45 (KHÔNG)</vt:lpstr>
      <vt:lpstr>47 (KHONG)</vt:lpstr>
      <vt:lpstr>DIEU CHINH DAU TU CONG 16-20</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'PL tong hop'!chuong_phuluc_1_name</vt:lpstr>
      <vt:lpstr>'10'!chuong_phuluc_10</vt:lpstr>
      <vt:lpstr>'10'!chuong_phuluc_10_name</vt:lpstr>
      <vt:lpstr>'11'!chuong_phuluc_11</vt:lpstr>
      <vt:lpstr>'11'!chuong_phuluc_11_name</vt:lpstr>
      <vt:lpstr>'17'!chuong_phuluc_17</vt:lpstr>
      <vt:lpstr>'17'!chuong_phuluc_17_name</vt:lpstr>
      <vt:lpstr>'18 (Khong)'!chuong_phuluc_18</vt:lpstr>
      <vt:lpstr>'18 (Khong)'!chuong_phuluc_18_name</vt:lpstr>
      <vt:lpstr>'ĐGCĐ THU, CHI MAU 19'!chuong_phuluc_19</vt:lpstr>
      <vt:lpstr>'ĐGCĐ THU, CHI MAU 19'!chuong_phuluc_19_name</vt:lpstr>
      <vt:lpstr>'01'!chuong_phuluc_2</vt:lpstr>
      <vt:lpstr>'02'!chuong_phuluc_2_1</vt:lpstr>
      <vt:lpstr>'02'!chuong_phuluc_2_1_name</vt:lpstr>
      <vt:lpstr>'01'!chuong_phuluc_2_name</vt:lpstr>
      <vt:lpstr>'DANH GIA TH THU NSNN 20'!chuong_phuluc_20</vt:lpstr>
      <vt:lpstr>'DANH GIA TH THU NSNN 20'!chuong_phuluc_20_name</vt:lpstr>
      <vt:lpstr>'D. GIA TH THU NSNN THEO L.V 21'!chuong_phuluc_21</vt:lpstr>
      <vt:lpstr>'D. GIA TH THU NSNN THEO L.V 21'!chuong_phuluc_21_name</vt:lpstr>
      <vt:lpstr>'22'!chuong_phuluc_22</vt:lpstr>
      <vt:lpstr>'22'!chuong_phuluc_22_name</vt:lpstr>
      <vt:lpstr>'23'!chuong_phuluc_23</vt:lpstr>
      <vt:lpstr>'23'!chuong_phuluc_23_name</vt:lpstr>
      <vt:lpstr>'24'!chuong_phuluc_24</vt:lpstr>
      <vt:lpstr>'24'!chuong_phuluc_24_name</vt:lpstr>
      <vt:lpstr>'25'!chuong_phuluc_25</vt:lpstr>
      <vt:lpstr>'25'!chuong_phuluc_25_name</vt:lpstr>
      <vt:lpstr>'26'!chuong_phuluc_26</vt:lpstr>
      <vt:lpstr>'26'!chuong_phuluc_26_name</vt:lpstr>
      <vt:lpstr>'27'!chuong_phuluc_27</vt:lpstr>
      <vt:lpstr>'27'!chuong_phuluc_27_name</vt:lpstr>
      <vt:lpstr>'28'!chuong_phuluc_28</vt:lpstr>
      <vt:lpstr>'28'!chuong_phuluc_28_name</vt:lpstr>
      <vt:lpstr>'29'!chuong_phuluc_29</vt:lpstr>
      <vt:lpstr>'29'!chuong_phuluc_29_name</vt:lpstr>
      <vt:lpstr>'03'!chuong_phuluc_3</vt:lpstr>
      <vt:lpstr>'03'!chuong_phuluc_3_name</vt:lpstr>
      <vt:lpstr>'CĐDT THU, CHI MAU 30'!chuong_phuluc_30</vt:lpstr>
      <vt:lpstr>'CĐDT THU, CHI MAU 30'!chuong_phuluc_30_name</vt:lpstr>
      <vt:lpstr>'31'!chuong_phuluc_31</vt:lpstr>
      <vt:lpstr>'31'!chuong_phuluc_31_name</vt:lpstr>
      <vt:lpstr>'PL 02'!chuong_phuluc_32</vt:lpstr>
      <vt:lpstr>'PL 02'!chuong_phuluc_32_name</vt:lpstr>
      <vt:lpstr>'DT CHI NS HUYEN, XA 33'!chuong_phuluc_33</vt:lpstr>
      <vt:lpstr>'DT CHI NS HUYEN, XA 33'!chuong_phuluc_33_name</vt:lpstr>
      <vt:lpstr>'34 (Khong)'!chuong_phuluc_34_name</vt:lpstr>
      <vt:lpstr>'PL 03'!chuong_phuluc_35</vt:lpstr>
      <vt:lpstr>'PL 03'!chuong_phuluc_35_name</vt:lpstr>
      <vt:lpstr>'36 (KHONG)'!chuong_phuluc_36</vt:lpstr>
      <vt:lpstr>'36 (KHONG)'!chuong_phuluc_36_name</vt:lpstr>
      <vt:lpstr>'DT CHI TX NSH TUNG CQ 37'!chuong_phuluc_37</vt:lpstr>
      <vt:lpstr>'DT CHI TX NSH TUNG CQ 37'!chuong_phuluc_37_name</vt:lpstr>
      <vt:lpstr>'DT CTMTQG 38'!chuong_phuluc_38</vt:lpstr>
      <vt:lpstr>'DT CTMTQG 38'!chuong_phuluc_38_name</vt:lpstr>
      <vt:lpstr>'PL 05'!chuong_phuluc_39</vt:lpstr>
      <vt:lpstr>'PL 05'!chuong_phuluc_39_name</vt:lpstr>
      <vt:lpstr>'04'!chuong_phuluc_4</vt:lpstr>
      <vt:lpstr>'04'!chuong_phuluc_4_name</vt:lpstr>
      <vt:lpstr>'40 n(Khong)'!chuong_phuluc_40</vt:lpstr>
      <vt:lpstr>'40 n(Khong)'!chuong_phuluc_40_name</vt:lpstr>
      <vt:lpstr>'42(KHONG)'!chuong_phuluc_42</vt:lpstr>
      <vt:lpstr>'42(KHONG)'!chuong_phuluc_42_name</vt:lpstr>
      <vt:lpstr>'43 (KHONG)'!chuong_phuluc_43</vt:lpstr>
      <vt:lpstr>'43 (KHONG)'!chuong_phuluc_43_name</vt:lpstr>
      <vt:lpstr>'44 (KHONG)'!chuong_phuluc_44</vt:lpstr>
      <vt:lpstr>'44 (KHONG)'!chuong_phuluc_44_name</vt:lpstr>
      <vt:lpstr>'44 (KHONG)'!chuong_phuluc_44_name_name</vt:lpstr>
      <vt:lpstr>'45 (KHÔNG)'!chuong_phuluc_45</vt:lpstr>
      <vt:lpstr>'45 (KHÔNG)'!chuong_phuluc_45_name</vt:lpstr>
      <vt:lpstr>'47 (KHONG)'!chuong_phuluc_47</vt:lpstr>
      <vt:lpstr>'47 (KHONG)'!chuong_phuluc_47_name</vt:lpstr>
      <vt:lpstr>'47 (KHONG)'!chuong_phuluc_47_name_name</vt:lpstr>
      <vt:lpstr>'48'!chuong_phuluc_48</vt:lpstr>
      <vt:lpstr>'48'!chuong_phuluc_48_name</vt:lpstr>
      <vt:lpstr>'49'!chuong_phuluc_49</vt:lpstr>
      <vt:lpstr>'49'!chuong_phuluc_49_name</vt:lpstr>
      <vt:lpstr>'05'!chuong_phuluc_5</vt:lpstr>
      <vt:lpstr>'05'!chuong_phuluc_5_name</vt:lpstr>
      <vt:lpstr>'50'!chuong_phuluc_50</vt:lpstr>
      <vt:lpstr>'50'!chuong_phuluc_50_name</vt:lpstr>
      <vt:lpstr>'51'!chuong_phuluc_51</vt:lpstr>
      <vt:lpstr>'51'!chuong_phuluc_51_name</vt:lpstr>
      <vt:lpstr>'52'!chuong_phuluc_52</vt:lpstr>
      <vt:lpstr>'52'!chuong_phuluc_52_name</vt:lpstr>
      <vt:lpstr>'53'!chuong_phuluc_53</vt:lpstr>
      <vt:lpstr>'53'!chuong_phuluc_53_name</vt:lpstr>
      <vt:lpstr>'54'!chuong_phuluc_54</vt:lpstr>
      <vt:lpstr>'54'!chuong_phuluc_54_name</vt:lpstr>
      <vt:lpstr>'55'!chuong_phuluc_55</vt:lpstr>
      <vt:lpstr>'55'!chuong_phuluc_55_name</vt:lpstr>
      <vt:lpstr>'56'!chuong_phuluc_56</vt:lpstr>
      <vt:lpstr>'56'!chuong_phuluc_56_name</vt:lpstr>
      <vt:lpstr>'57'!chuong_phuluc_57</vt:lpstr>
      <vt:lpstr>'57'!chuong_phuluc_57_name</vt:lpstr>
      <vt:lpstr>'58'!chuong_phuluc_58</vt:lpstr>
      <vt:lpstr>'58'!chuong_phuluc_58_name</vt:lpstr>
      <vt:lpstr>'59'!chuong_phuluc_59_name</vt:lpstr>
      <vt:lpstr>'06'!chuong_phuluc_6</vt:lpstr>
      <vt:lpstr>'06'!chuong_phuluc_6_name</vt:lpstr>
      <vt:lpstr>'60'!chuong_phuluc_60</vt:lpstr>
      <vt:lpstr>'60'!chuong_phuluc_60_name</vt:lpstr>
      <vt:lpstr>'61'!chuong_phuluc_61</vt:lpstr>
      <vt:lpstr>'61'!chuong_phuluc_61_name</vt:lpstr>
      <vt:lpstr>'62'!chuong_phuluc_62_name</vt:lpstr>
      <vt:lpstr>'63'!chuong_phuluc_63</vt:lpstr>
      <vt:lpstr>'63'!chuong_phuluc_63_name</vt:lpstr>
      <vt:lpstr>'64'!chuong_phuluc_64</vt:lpstr>
      <vt:lpstr>'64'!chuong_phuluc_64_name</vt:lpstr>
      <vt:lpstr>'07'!chuong_phuluc_7</vt:lpstr>
      <vt:lpstr>'07'!chuong_phuluc_7_name</vt:lpstr>
      <vt:lpstr>'08'!chuong_phuluc_8</vt:lpstr>
      <vt:lpstr>'08'!chuong_phuluc_8_name</vt:lpstr>
      <vt:lpstr>'09'!chuong_phuluc_9</vt:lpstr>
      <vt:lpstr>'09'!chuong_phuluc_9_name</vt:lpstr>
      <vt:lpstr>'D. GIA TH THU NSNN THEO L.V 21'!Print_Area</vt:lpstr>
      <vt:lpstr>'DANH GIA TH THU NSNN 20'!Print_Area</vt:lpstr>
      <vt:lpstr>'DT CHI NS HUYEN, XA 33'!Print_Area</vt:lpstr>
      <vt:lpstr>'DT CHI TX NSH TUNG CQ 37'!Print_Area</vt:lpstr>
      <vt:lpstr>'DT CTMTQG 38'!Print_Area</vt:lpstr>
      <vt:lpstr>'PL 01'!Print_Area</vt:lpstr>
      <vt:lpstr>'PL 02'!Print_Area</vt:lpstr>
      <vt:lpstr>'PL 04'!Print_Area</vt:lpstr>
      <vt:lpstr>'PL 05'!Print_Area</vt:lpstr>
      <vt:lpstr>'DT CHI TX NSH TUNG CQ 37'!Print_Titles</vt:lpstr>
      <vt:lpstr>'PL 01'!Print_Titles</vt:lpstr>
      <vt:lpstr>'PL 03'!Print_Titles</vt:lpstr>
      <vt:lpstr>'PL 04'!Print_Titles</vt:lpstr>
      <vt:lpstr>'PL 06'!Print_Titles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DELL</cp:lastModifiedBy>
  <cp:lastPrinted>2023-12-29T02:43:59Z</cp:lastPrinted>
  <dcterms:created xsi:type="dcterms:W3CDTF">2017-04-26T02:19:00Z</dcterms:created>
  <dcterms:modified xsi:type="dcterms:W3CDTF">2023-12-29T02:44:17Z</dcterms:modified>
</cp:coreProperties>
</file>